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'бер'!$A$1:$AE$98</definedName>
    <definedName name="_xlnm.Print_Area" localSheetId="9">'вер'!$A$1:$AG$98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<sst xmlns="http://schemas.openxmlformats.org/spreadsheetml/2006/main" count="1336" uniqueCount="83">
  <si>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</si>
  <si>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</si>
  <si>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</si>
  <si>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</si>
  <si>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</si>
  <si>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</si>
  <si>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</si>
  <si>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</si>
  <si>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</si>
  <si>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</si>
  <si>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</si>
  <si>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</si>
  <si>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</si>
  <si>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</si>
  <si>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</si>
  <si>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</si>
  <si>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</si>
  <si>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</si>
  <si>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</si>
  <si>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</si>
  <si>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</si>
  <si>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</si>
  <si>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</si>
  <si>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</si>
  <si>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</si>
  <si>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</si>
  <si>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</si>
  <si>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</si>
  <si>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</si>
  <si>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</si>
  <si>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</si>
  <si>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</si>
  <si>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</si>
  <si>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</si>
  <si>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</si>
  <si>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</si>
  <si>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</si>
  <si>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</si>
  <si>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</si>
  <si>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</si>
  <si>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</si>
  <si>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</si>
  <si>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</si>
  <si>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</si>
  <si>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</si>
  <si>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</si>
  <si>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</si>
  <si>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</si>
  <si>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</si>
  <si>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</si>
  <si>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</si>
  <si>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</si>
  <si>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</si>
  <si>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</si>
  <si>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</si>
  <si>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</si>
  <si>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</si>
  <si>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</si>
  <si>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</si>
  <si>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</si>
  <si>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</si>
  <si>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</si>
  <si>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</si>
  <si>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</si>
  <si>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</si>
  <si>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</si>
  <si>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</si>
  <si>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</si>
  <si>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</si>
  <si>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</si>
  <si>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</si>
  <si>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</si>
  <si>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</si>
  <si>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</si>
  <si>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</si>
  <si>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</si>
  <si>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</si>
  <si>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</si>
  <si>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</si>
  <si>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</si>
  <si>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</si>
  <si>
    <t>по міському бюджету м.Черкаси у ГРУДНІ 2015 р.</t>
  </si>
  <si>
    <t>Стабілізаційна дотація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</si>
</sst>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16060.7</v>
      </c>
      <c r="AF7" s="76"/>
      <c r="AG7" s="49"/>
    </row>
    <row r="8" spans="1:55" ht="18" customHeight="1">
      <c r="A8" s="61" t="s">
        <v>37</v>
      </c>
      <c r="B8" s="41">
        <f>SUM(D8:AB8)</f>
        <v>73135.99999999999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>
        <v>1589.6</v>
      </c>
      <c r="U8" s="56">
        <v>3450.8</v>
      </c>
      <c r="V8" s="56">
        <v>2126.7</v>
      </c>
      <c r="W8" s="56">
        <v>5522.2</v>
      </c>
      <c r="X8" s="57">
        <v>6852.2</v>
      </c>
      <c r="Y8" s="57"/>
      <c r="Z8" s="57"/>
      <c r="AA8" s="57"/>
      <c r="AB8" s="56"/>
      <c r="AC8" s="24"/>
      <c r="AD8" s="24"/>
      <c r="AE8" s="62">
        <f>126337.6-618.4</f>
        <v>125719.20000000001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87407.29999999999</v>
      </c>
      <c r="C9" s="25">
        <f t="shared" si="0"/>
        <v>46709.6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16452.700000000004</v>
      </c>
      <c r="U9" s="25">
        <f t="shared" si="0"/>
        <v>8249.699999999999</v>
      </c>
      <c r="V9" s="25">
        <f t="shared" si="0"/>
        <v>10019.5</v>
      </c>
      <c r="W9" s="25">
        <f t="shared" si="0"/>
        <v>1556.6</v>
      </c>
      <c r="X9" s="25">
        <f t="shared" si="0"/>
        <v>825.9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78394.8</v>
      </c>
      <c r="AG9" s="51">
        <f>AG10+AG15+AG24+AG33+AG47+AG52+AG54+AG61+AG62+AG71+AG72+AG76+AG88+AG81+AG83+AG82+AG69+AG89+AG91+AG90+AG70+AG40+AG92</f>
        <v>55722.099999999984</v>
      </c>
      <c r="AH9" s="50"/>
      <c r="AI9" s="50"/>
    </row>
    <row r="10" spans="1:33" ht="15.75">
      <c r="A10" s="4" t="s">
        <v>4</v>
      </c>
      <c r="B10" s="23">
        <f>4520.5-34.2+205-551+86.4</f>
        <v>4226.7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>
        <v>340.1</v>
      </c>
      <c r="U10" s="27">
        <v>462.2</v>
      </c>
      <c r="V10" s="27">
        <v>1666.1</v>
      </c>
      <c r="W10" s="27">
        <v>400.9</v>
      </c>
      <c r="X10" s="23">
        <v>9.2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4456.299999999999</v>
      </c>
      <c r="AG10" s="28">
        <f>B10+C10-AF10</f>
        <v>2281.5</v>
      </c>
    </row>
    <row r="11" spans="1:33" ht="15.75">
      <c r="A11" s="3" t="s">
        <v>5</v>
      </c>
      <c r="B11" s="23">
        <f>3509.6+17+50.2</f>
        <v>3576.7999999999997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>
        <v>339.2</v>
      </c>
      <c r="U11" s="27">
        <v>462.2</v>
      </c>
      <c r="V11" s="27">
        <v>1485.6</v>
      </c>
      <c r="W11" s="27">
        <v>299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3753.7</v>
      </c>
      <c r="AG11" s="28">
        <f>B11+C11-AF11</f>
        <v>431</v>
      </c>
    </row>
    <row r="12" spans="1:33" ht="15.75">
      <c r="A12" s="3" t="s">
        <v>2</v>
      </c>
      <c r="B12" s="37">
        <f>436.7-34.2-17-20.3</f>
        <v>365.2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>
        <v>86.2</v>
      </c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139.2</v>
      </c>
      <c r="AG12" s="28">
        <f>B12+C12-AF12</f>
        <v>807.8999999999999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284.7000000000001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0.9000000000000341</v>
      </c>
      <c r="U14" s="23">
        <f t="shared" si="2"/>
        <v>0</v>
      </c>
      <c r="V14" s="23">
        <f t="shared" si="2"/>
        <v>180.5</v>
      </c>
      <c r="W14" s="23">
        <f t="shared" si="2"/>
        <v>15.699999999999974</v>
      </c>
      <c r="X14" s="23">
        <f t="shared" si="2"/>
        <v>9.2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563.4</v>
      </c>
      <c r="AG14" s="28">
        <f>AG10-AG11-AG12-AG13</f>
        <v>1042.6000000000001</v>
      </c>
    </row>
    <row r="15" spans="1:33" ht="15" customHeight="1">
      <c r="A15" s="4" t="s">
        <v>6</v>
      </c>
      <c r="B15" s="23">
        <f>35686.5+14.1+30+1700</f>
        <v>37430.6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>
        <v>14663</v>
      </c>
      <c r="U15" s="27">
        <v>591.5</v>
      </c>
      <c r="V15" s="27">
        <v>188.4</v>
      </c>
      <c r="W15" s="27">
        <v>93.9</v>
      </c>
      <c r="X15" s="23">
        <v>0.1</v>
      </c>
      <c r="Y15" s="27"/>
      <c r="Z15" s="27"/>
      <c r="AA15" s="27"/>
      <c r="AB15" s="23"/>
      <c r="AC15" s="23"/>
      <c r="AD15" s="23"/>
      <c r="AE15" s="23"/>
      <c r="AF15" s="28">
        <f t="shared" si="1"/>
        <v>29857.100000000006</v>
      </c>
      <c r="AG15" s="28">
        <f aca="true" t="shared" si="3" ref="AG15:AG31">B15+C15-AF15</f>
        <v>25813.09999999999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>
        <v>4563.2</v>
      </c>
      <c r="U16" s="69">
        <v>240.3</v>
      </c>
      <c r="V16" s="69">
        <v>146.6</v>
      </c>
      <c r="W16" s="69">
        <v>69.1</v>
      </c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13014.7</v>
      </c>
      <c r="AG16" s="72">
        <f t="shared" si="3"/>
        <v>10805.2</v>
      </c>
      <c r="AH16" s="78"/>
    </row>
    <row r="17" spans="1:34" ht="15.75">
      <c r="A17" s="3" t="s">
        <v>5</v>
      </c>
      <c r="B17" s="23">
        <f>24399.8+7.2</f>
        <v>24407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>
        <v>14663</v>
      </c>
      <c r="U17" s="27">
        <v>5.2</v>
      </c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24262.600000000002</v>
      </c>
      <c r="AG17" s="28">
        <f t="shared" si="3"/>
        <v>5529.799999999999</v>
      </c>
      <c r="AH17" s="6"/>
    </row>
    <row r="18" spans="1:33" ht="15.75">
      <c r="A18" s="3" t="s">
        <v>3</v>
      </c>
      <c r="B18" s="23">
        <v>1.6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11.600000000000001</v>
      </c>
    </row>
    <row r="19" spans="1:33" ht="15.75">
      <c r="A19" s="3" t="s">
        <v>1</v>
      </c>
      <c r="B19" s="23">
        <f>2322.4-31.9-0.2</f>
        <v>2290.3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>
        <v>146.7</v>
      </c>
      <c r="V19" s="27">
        <v>28.6</v>
      </c>
      <c r="W19" s="27">
        <v>89.6</v>
      </c>
      <c r="X19" s="23">
        <v>0.1</v>
      </c>
      <c r="Y19" s="27"/>
      <c r="Z19" s="27"/>
      <c r="AA19" s="27"/>
      <c r="AB19" s="23"/>
      <c r="AC19" s="23"/>
      <c r="AD19" s="23"/>
      <c r="AE19" s="23"/>
      <c r="AF19" s="28">
        <f t="shared" si="1"/>
        <v>1466.9999999999998</v>
      </c>
      <c r="AG19" s="28">
        <f t="shared" si="3"/>
        <v>2846</v>
      </c>
    </row>
    <row r="20" spans="1:33" ht="15.75">
      <c r="A20" s="3" t="s">
        <v>2</v>
      </c>
      <c r="B20" s="23">
        <v>8812.2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>
        <v>434</v>
      </c>
      <c r="V20" s="27">
        <v>92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3883.2000000000003</v>
      </c>
      <c r="AG20" s="28">
        <f t="shared" si="3"/>
        <v>14781.8</v>
      </c>
    </row>
    <row r="21" spans="1:33" ht="15.75">
      <c r="A21" s="3" t="s">
        <v>17</v>
      </c>
      <c r="B21" s="23">
        <v>12.8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>
        <v>3.7</v>
      </c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11.3</v>
      </c>
      <c r="AG21" s="28">
        <f t="shared" si="3"/>
        <v>44.900000000000006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1906.6999999999964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1.8999999999999657</v>
      </c>
      <c r="V23" s="23">
        <f t="shared" si="4"/>
        <v>67.80000000000001</v>
      </c>
      <c r="W23" s="23">
        <f t="shared" si="4"/>
        <v>4.300000000000011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226.59999999999985</v>
      </c>
      <c r="AG23" s="28">
        <f t="shared" si="3"/>
        <v>2598.999999999996</v>
      </c>
    </row>
    <row r="24" spans="1:33" ht="15" customHeight="1">
      <c r="A24" s="4" t="s">
        <v>7</v>
      </c>
      <c r="B24" s="23">
        <v>22517.4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>
        <v>20.7</v>
      </c>
      <c r="U24" s="27">
        <v>6569.5</v>
      </c>
      <c r="V24" s="27">
        <v>5788.4</v>
      </c>
      <c r="W24" s="27">
        <v>185.9</v>
      </c>
      <c r="X24" s="23">
        <f>69.4-84.9</f>
        <v>-15.5</v>
      </c>
      <c r="Y24" s="27"/>
      <c r="Z24" s="27"/>
      <c r="AA24" s="27"/>
      <c r="AB24" s="23"/>
      <c r="AC24" s="23"/>
      <c r="AD24" s="23"/>
      <c r="AE24" s="23"/>
      <c r="AF24" s="28">
        <f t="shared" si="1"/>
        <v>22847.700000000004</v>
      </c>
      <c r="AG24" s="28">
        <f t="shared" si="3"/>
        <v>7065.699999999997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>
        <v>13.4</v>
      </c>
      <c r="U25" s="69">
        <v>3383.2</v>
      </c>
      <c r="V25" s="69">
        <v>1253.4</v>
      </c>
      <c r="W25" s="69">
        <v>151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11233.3</v>
      </c>
      <c r="AG25" s="72">
        <f t="shared" si="3"/>
        <v>5255.5</v>
      </c>
      <c r="AH25" s="78"/>
    </row>
    <row r="26" spans="1:34" ht="15.75">
      <c r="A26" s="3" t="s">
        <v>5</v>
      </c>
      <c r="B26" s="23">
        <f>15292.6+328.4</f>
        <v>15621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>
        <v>6567.7</v>
      </c>
      <c r="V26" s="27">
        <v>4937.9</v>
      </c>
      <c r="W26" s="27">
        <v>1.9</v>
      </c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17572.7</v>
      </c>
      <c r="AG26" s="28">
        <f t="shared" si="3"/>
        <v>2458.7000000000007</v>
      </c>
      <c r="AH26" s="6"/>
    </row>
    <row r="27" spans="1:33" ht="15.75">
      <c r="A27" s="3" t="s">
        <v>3</v>
      </c>
      <c r="B27" s="23">
        <f>1392.9+150+158.5</f>
        <v>1701.4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>
        <v>1.8</v>
      </c>
      <c r="U27" s="27"/>
      <c r="V27" s="27">
        <v>202</v>
      </c>
      <c r="W27" s="27">
        <v>57.7</v>
      </c>
      <c r="X27" s="23">
        <f>69.4-84.9</f>
        <v>-15.5</v>
      </c>
      <c r="Y27" s="27"/>
      <c r="Z27" s="27"/>
      <c r="AA27" s="27"/>
      <c r="AB27" s="23"/>
      <c r="AC27" s="23"/>
      <c r="AD27" s="23"/>
      <c r="AE27" s="23"/>
      <c r="AF27" s="28">
        <f t="shared" si="1"/>
        <v>2284.7</v>
      </c>
      <c r="AG27" s="28">
        <f t="shared" si="3"/>
        <v>769.4000000000005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>
        <v>1.8</v>
      </c>
      <c r="V28" s="27">
        <v>133</v>
      </c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380.3</v>
      </c>
      <c r="AG28" s="28">
        <f t="shared" si="3"/>
        <v>9.199999999999989</v>
      </c>
    </row>
    <row r="29" spans="1:33" ht="15.75">
      <c r="A29" s="3" t="s">
        <v>2</v>
      </c>
      <c r="B29" s="23">
        <f>4549.6-25-151.1-328.6</f>
        <v>4044.9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>
        <v>279.4</v>
      </c>
      <c r="W29" s="27">
        <v>117.6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1771</v>
      </c>
      <c r="AG29" s="28">
        <f t="shared" si="3"/>
        <v>2906.3</v>
      </c>
    </row>
    <row r="30" spans="1:33" ht="15.75">
      <c r="A30" s="3" t="s">
        <v>17</v>
      </c>
      <c r="B30" s="23">
        <f>203.8-5.9-58.8</f>
        <v>139.10000000000002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>
        <v>3.1</v>
      </c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125.49999999999999</v>
      </c>
      <c r="AG30" s="28">
        <f t="shared" si="3"/>
        <v>55.10000000000004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632.6000000000021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18.9</v>
      </c>
      <c r="U32" s="23">
        <f t="shared" si="5"/>
        <v>1.8185453143360064E-13</v>
      </c>
      <c r="V32" s="23">
        <f t="shared" si="5"/>
        <v>233.00000000000003</v>
      </c>
      <c r="W32" s="23">
        <f t="shared" si="5"/>
        <v>8.700000000000003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713.4999999999997</v>
      </c>
      <c r="AG32" s="28">
        <f>AG24-AG26-AG27-AG28-AG29-AG30-AG31</f>
        <v>866.9999999999958</v>
      </c>
    </row>
    <row r="33" spans="1:33" ht="15" customHeight="1">
      <c r="A33" s="4" t="s">
        <v>8</v>
      </c>
      <c r="B33" s="23">
        <v>209.2</v>
      </c>
      <c r="C33" s="23">
        <f>423.1-137.7</f>
        <v>285.40000000000003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>
        <v>88.9</v>
      </c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169.5</v>
      </c>
      <c r="AG33" s="28">
        <f aca="true" t="shared" si="6" ref="AG33:AG38">B33+C33-AF33</f>
        <v>325.1</v>
      </c>
    </row>
    <row r="34" spans="1:33" ht="15.75">
      <c r="A34" s="3" t="s">
        <v>5</v>
      </c>
      <c r="B34" s="23">
        <v>137.9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88.7</v>
      </c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143.5</v>
      </c>
      <c r="AG34" s="28">
        <f t="shared" si="6"/>
        <v>47.10000000000002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64.5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124.10000000000001</v>
      </c>
    </row>
    <row r="37" spans="1:33" ht="15.75">
      <c r="A37" s="3" t="s">
        <v>17</v>
      </c>
      <c r="B37" s="23">
        <v>0</v>
      </c>
      <c r="C37" s="23">
        <f>218.1-137.7</f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6.799999999999983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0.20000000000000284</v>
      </c>
      <c r="W39" s="23">
        <f t="shared" si="7"/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0.8000000000000099</v>
      </c>
      <c r="AG39" s="28">
        <f>AG33-AG34-AG36-AG38-AG35-AG37</f>
        <v>69.89999999999998</v>
      </c>
    </row>
    <row r="40" spans="1:33" ht="15" customHeight="1">
      <c r="A40" s="4" t="s">
        <v>34</v>
      </c>
      <c r="B40" s="23">
        <v>725.9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>
        <v>0.9</v>
      </c>
      <c r="U40" s="27"/>
      <c r="V40" s="27"/>
      <c r="W40" s="27">
        <v>375.7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679.7</v>
      </c>
      <c r="AG40" s="28">
        <f aca="true" t="shared" si="8" ref="AG40:AG45">B40+C40-AF40</f>
        <v>146.4999999999999</v>
      </c>
    </row>
    <row r="41" spans="1:34" ht="15.75">
      <c r="A41" s="3" t="s">
        <v>5</v>
      </c>
      <c r="B41" s="23">
        <v>618.5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368.7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603.7</v>
      </c>
      <c r="AG41" s="28">
        <f t="shared" si="8"/>
        <v>46.5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24.09999999999998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0.9</v>
      </c>
      <c r="U46" s="23">
        <f t="shared" si="10"/>
        <v>0</v>
      </c>
      <c r="V46" s="23">
        <f t="shared" si="10"/>
        <v>0</v>
      </c>
      <c r="W46" s="23">
        <f t="shared" si="10"/>
        <v>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25.499999999999996</v>
      </c>
      <c r="AG46" s="28">
        <f>AG40-AG41-AG42-AG43-AG44-AG45</f>
        <v>26.59999999999988</v>
      </c>
    </row>
    <row r="47" spans="1:33" ht="17.25" customHeight="1">
      <c r="A47" s="4" t="s">
        <v>15</v>
      </c>
      <c r="B47" s="37">
        <v>988.3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>
        <v>1.7</v>
      </c>
      <c r="U47" s="29"/>
      <c r="V47" s="29">
        <v>304.1</v>
      </c>
      <c r="W47" s="29">
        <v>80.6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789.4000000000001</v>
      </c>
      <c r="AG47" s="28">
        <f>B47+C47-AF47</f>
        <v>2535.6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888.9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>
        <v>1.7</v>
      </c>
      <c r="U49" s="23"/>
      <c r="V49" s="23">
        <v>258</v>
      </c>
      <c r="W49" s="23">
        <v>66.4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623.5</v>
      </c>
      <c r="AG49" s="28">
        <f>B49+C49-AF49</f>
        <v>2263.3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99.39999999999998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46.10000000000002</v>
      </c>
      <c r="W51" s="23">
        <f t="shared" si="11"/>
        <v>14.199999999999989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165.89999999999998</v>
      </c>
      <c r="AG51" s="28">
        <f>AG47-AG49-AG48</f>
        <v>272.2999999999997</v>
      </c>
    </row>
    <row r="52" spans="1:33" ht="15" customHeight="1">
      <c r="A52" s="4" t="s">
        <v>0</v>
      </c>
      <c r="B52" s="23">
        <f>3879.7+1149.3+400-0.1</f>
        <v>5428.9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>
        <v>562.9</v>
      </c>
      <c r="W52" s="27">
        <v>80.9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4673.4</v>
      </c>
      <c r="AG52" s="28">
        <f aca="true" t="shared" si="12" ref="AG52:AG59">B52+C52-AF52</f>
        <v>3036.5</v>
      </c>
    </row>
    <row r="53" spans="1:33" ht="15" customHeight="1">
      <c r="A53" s="3" t="s">
        <v>2</v>
      </c>
      <c r="B53" s="23">
        <f>414-0.1</f>
        <v>413.9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936.9000000000001</v>
      </c>
    </row>
    <row r="54" spans="1:34" ht="15" customHeight="1">
      <c r="A54" s="4" t="s">
        <v>9</v>
      </c>
      <c r="B54" s="45">
        <f>3710.6+54+254.2+80</f>
        <v>4098.799999999999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>
        <v>1415.8</v>
      </c>
      <c r="U54" s="27">
        <v>85.3</v>
      </c>
      <c r="V54" s="27">
        <v>51.4</v>
      </c>
      <c r="W54" s="27">
        <v>4</v>
      </c>
      <c r="X54" s="23">
        <v>83.2</v>
      </c>
      <c r="Y54" s="27"/>
      <c r="Z54" s="27"/>
      <c r="AA54" s="27"/>
      <c r="AB54" s="23"/>
      <c r="AC54" s="23"/>
      <c r="AD54" s="23"/>
      <c r="AE54" s="23"/>
      <c r="AF54" s="28">
        <f t="shared" si="9"/>
        <v>3836.4</v>
      </c>
      <c r="AG54" s="23">
        <f t="shared" si="12"/>
        <v>2105.9999999999995</v>
      </c>
      <c r="AH54" s="6"/>
    </row>
    <row r="55" spans="1:34" ht="15.75">
      <c r="A55" s="3" t="s">
        <v>5</v>
      </c>
      <c r="B55" s="23">
        <f>2693.7+5.7</f>
        <v>2699.3999999999996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>
        <v>1387.8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2798.3999999999996</v>
      </c>
      <c r="AG55" s="23">
        <f t="shared" si="12"/>
        <v>869.8000000000002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333.8+254.2</f>
        <v>588</v>
      </c>
      <c r="C57" s="23">
        <v>580.5</v>
      </c>
      <c r="D57" s="23"/>
      <c r="E57" s="23"/>
      <c r="F57" s="23"/>
      <c r="G57" s="23">
        <v>25.6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>
        <v>9.5</v>
      </c>
      <c r="U57" s="27">
        <v>85.3</v>
      </c>
      <c r="V57" s="27">
        <v>1.7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206.5</v>
      </c>
      <c r="AG57" s="23">
        <f t="shared" si="12"/>
        <v>962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807.9999999999997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186.9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18.5</v>
      </c>
      <c r="U60" s="23">
        <f t="shared" si="13"/>
        <v>0</v>
      </c>
      <c r="V60" s="23">
        <f t="shared" si="13"/>
        <v>49.699999999999996</v>
      </c>
      <c r="W60" s="23">
        <f t="shared" si="13"/>
        <v>4</v>
      </c>
      <c r="X60" s="23">
        <f t="shared" si="13"/>
        <v>83.2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828.1000000000005</v>
      </c>
      <c r="AG60" s="23">
        <f>AG54-AG55-AG57-AG59-AG56-AG58</f>
        <v>274.19999999999936</v>
      </c>
    </row>
    <row r="61" spans="1:33" ht="15" customHeight="1">
      <c r="A61" s="4" t="s">
        <v>10</v>
      </c>
      <c r="B61" s="23">
        <f>65.5-54</f>
        <v>11.5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>
        <v>0.1</v>
      </c>
      <c r="U61" s="27"/>
      <c r="V61" s="27"/>
      <c r="W61" s="27">
        <v>27.3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32.6</v>
      </c>
      <c r="AG61" s="23">
        <f aca="true" t="shared" si="15" ref="AG61:AG67">B61+C61-AF61</f>
        <v>59.1</v>
      </c>
    </row>
    <row r="62" spans="1:33" ht="15" customHeight="1">
      <c r="A62" s="4" t="s">
        <v>11</v>
      </c>
      <c r="B62" s="23">
        <f>1571.1+128.2-176.7</f>
        <v>1522.6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>
        <v>508.9</v>
      </c>
      <c r="V62" s="27">
        <v>206.8</v>
      </c>
      <c r="W62" s="27">
        <v>55.4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1429.0000000000002</v>
      </c>
      <c r="AG62" s="23">
        <f t="shared" si="15"/>
        <v>997.9999999999998</v>
      </c>
    </row>
    <row r="63" spans="1:34" ht="15.75">
      <c r="A63" s="3" t="s">
        <v>5</v>
      </c>
      <c r="B63" s="23">
        <v>897.3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>
        <v>508.9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878</v>
      </c>
      <c r="AG63" s="23">
        <f t="shared" si="15"/>
        <v>105.79999999999995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30.1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>
        <v>1.8</v>
      </c>
      <c r="W65" s="27">
        <v>2.8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26.1</v>
      </c>
      <c r="AG65" s="23">
        <f t="shared" si="15"/>
        <v>37.3</v>
      </c>
      <c r="AH65" s="6"/>
    </row>
    <row r="66" spans="1:33" ht="15.75">
      <c r="A66" s="3" t="s">
        <v>2</v>
      </c>
      <c r="B66" s="23">
        <f>100.4+1.9</f>
        <v>102.30000000000001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>
        <v>12.1</v>
      </c>
      <c r="W66" s="27">
        <v>0.1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27.6</v>
      </c>
      <c r="AG66" s="23">
        <f t="shared" si="15"/>
        <v>137.20000000000002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489.59999999999997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192.9</v>
      </c>
      <c r="W68" s="23">
        <f t="shared" si="16"/>
        <v>52.5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492</v>
      </c>
      <c r="AG68" s="23">
        <f>AG62-AG63-AG66-AG67-AG65-AG64</f>
        <v>716.0999999999998</v>
      </c>
    </row>
    <row r="69" spans="1:33" ht="31.5">
      <c r="A69" s="4" t="s">
        <v>33</v>
      </c>
      <c r="B69" s="23">
        <v>337.2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>
        <v>189.4</v>
      </c>
      <c r="R69" s="23"/>
      <c r="S69" s="27"/>
      <c r="T69" s="27"/>
      <c r="U69" s="23"/>
      <c r="V69" s="23">
        <v>137.7</v>
      </c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338.5</v>
      </c>
      <c r="AG69" s="31">
        <f aca="true" t="shared" si="17" ref="AG69:AG92">B69+C69-AF69</f>
        <v>0.30000000000001137</v>
      </c>
    </row>
    <row r="70" spans="1:33" ht="15.75">
      <c r="A70" s="4" t="s">
        <v>42</v>
      </c>
      <c r="B70" s="23">
        <v>5.4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>
        <v>2.7</v>
      </c>
      <c r="U70" s="23"/>
      <c r="V70" s="23">
        <v>2.7</v>
      </c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2369.9+54.4-20.3</f>
        <v>2404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>
        <v>7.7</v>
      </c>
      <c r="U72" s="27"/>
      <c r="V72" s="27">
        <v>269.6</v>
      </c>
      <c r="W72" s="27">
        <v>21.1</v>
      </c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1770.9</v>
      </c>
      <c r="AG72" s="31">
        <f t="shared" si="17"/>
        <v>3878.1</v>
      </c>
    </row>
    <row r="73" spans="1:33" ht="15" customHeight="1">
      <c r="A73" s="3" t="s">
        <v>5</v>
      </c>
      <c r="B73" s="23">
        <v>18.7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>
        <v>18.6</v>
      </c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45.6</v>
      </c>
      <c r="AG73" s="31">
        <f t="shared" si="17"/>
        <v>39.199999999999996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>
        <v>5</v>
      </c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30.7</v>
      </c>
      <c r="AG74" s="31">
        <f t="shared" si="17"/>
        <v>304.90000000000003</v>
      </c>
    </row>
    <row r="75" spans="1:33" ht="15" customHeight="1">
      <c r="A75" s="3" t="s">
        <v>17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</v>
      </c>
    </row>
    <row r="76" spans="1:33" s="11" customFormat="1" ht="31.5">
      <c r="A76" s="12" t="s">
        <v>21</v>
      </c>
      <c r="B76" s="23">
        <v>347.1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>
        <v>32.3</v>
      </c>
      <c r="V76" s="29">
        <v>0.1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92.5</v>
      </c>
      <c r="AG76" s="31">
        <f t="shared" si="17"/>
        <v>454.70000000000005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>
        <v>32.3</v>
      </c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78.3</v>
      </c>
      <c r="AG77" s="31">
        <f t="shared" si="17"/>
        <v>2.299999999999997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4.7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4.6000000000000005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>
        <v>463.5</v>
      </c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1263.5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>
        <v>35.6</v>
      </c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456.80000000000007</v>
      </c>
      <c r="AG88" s="23">
        <f t="shared" si="17"/>
        <v>797.2999999999998</v>
      </c>
      <c r="AH88" s="11"/>
    </row>
    <row r="89" spans="1:34" ht="15.75">
      <c r="A89" s="4" t="s">
        <v>54</v>
      </c>
      <c r="B89" s="23">
        <f>1800-150-400</f>
        <v>1250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/>
      <c r="R89" s="23"/>
      <c r="S89" s="27"/>
      <c r="T89" s="27"/>
      <c r="U89" s="23"/>
      <c r="V89" s="23">
        <v>253.3</v>
      </c>
      <c r="W89" s="23">
        <v>230.8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1831.2</v>
      </c>
      <c r="AG89" s="23">
        <f t="shared" si="17"/>
        <v>5913.7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>
        <v>618.4</v>
      </c>
      <c r="Y90" s="27"/>
      <c r="Z90" s="27"/>
      <c r="AA90" s="27"/>
      <c r="AB90" s="23"/>
      <c r="AC90" s="23"/>
      <c r="AD90" s="23"/>
      <c r="AE90" s="23"/>
      <c r="AF90" s="28">
        <f t="shared" si="14"/>
        <v>1855.1999999999998</v>
      </c>
      <c r="AG90" s="23">
        <f t="shared" si="17"/>
        <v>0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999.5-1214.3+551-86.3-254.2-80</f>
        <v>-84.29999999999995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>
        <v>130.5</v>
      </c>
      <c r="Y92" s="27"/>
      <c r="Z92" s="27"/>
      <c r="AA92" s="27"/>
      <c r="AB92" s="23"/>
      <c r="AC92" s="23"/>
      <c r="AD92" s="23"/>
      <c r="AE92" s="23"/>
      <c r="AF92" s="28">
        <f t="shared" si="14"/>
        <v>-84.29999999999995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87407.29999999999</v>
      </c>
      <c r="C94" s="43">
        <f t="shared" si="18"/>
        <v>46709.6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16452.700000000004</v>
      </c>
      <c r="U94" s="43">
        <f t="shared" si="18"/>
        <v>8249.699999999999</v>
      </c>
      <c r="V94" s="43">
        <f t="shared" si="18"/>
        <v>10019.5</v>
      </c>
      <c r="W94" s="43">
        <f t="shared" si="18"/>
        <v>1556.6</v>
      </c>
      <c r="X94" s="43">
        <f t="shared" si="18"/>
        <v>825.9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78394.8</v>
      </c>
      <c r="AG94" s="59">
        <f>AG10+AG15+AG24+AG33+AG47+AG52+AG54+AG61+AG62+AG69+AG71+AG72+AG76+AG81+AG82+AG83+AG88+AG89+AG90+AG91+AG70+AG40+AG92</f>
        <v>55722.099999999984</v>
      </c>
    </row>
    <row r="95" spans="1:33" ht="15.75">
      <c r="A95" s="3" t="s">
        <v>5</v>
      </c>
      <c r="B95" s="23">
        <f aca="true" t="shared" si="19" ref="B95:AD95">B11+B17+B26+B34+B55+B63+B73+B41+B77</f>
        <v>48056.40000000001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16390</v>
      </c>
      <c r="U95" s="23">
        <f t="shared" si="19"/>
        <v>7576.299999999999</v>
      </c>
      <c r="V95" s="23">
        <f t="shared" si="19"/>
        <v>6530.8</v>
      </c>
      <c r="W95" s="23">
        <f t="shared" si="19"/>
        <v>669.5999999999999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50136.50000000001</v>
      </c>
      <c r="AG95" s="28">
        <f>B95+C95-AF95</f>
        <v>9530.200000000004</v>
      </c>
    </row>
    <row r="96" spans="1:33" ht="15.75">
      <c r="A96" s="3" t="s">
        <v>2</v>
      </c>
      <c r="B96" s="23">
        <f aca="true" t="shared" si="20" ref="B96:AD96">B12+B20+B29+B36+B57+B66+B44+B80+B74+B53</f>
        <v>14657.5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29.900000000000002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9.5</v>
      </c>
      <c r="U96" s="23">
        <f t="shared" si="20"/>
        <v>519.3</v>
      </c>
      <c r="V96" s="23">
        <f t="shared" si="20"/>
        <v>385.2</v>
      </c>
      <c r="W96" s="23">
        <f t="shared" si="20"/>
        <v>208.9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6425.5</v>
      </c>
      <c r="AG96" s="28">
        <f>B96+C96-AF96</f>
        <v>21030.5</v>
      </c>
    </row>
    <row r="97" spans="1:33" ht="15.75">
      <c r="A97" s="3" t="s">
        <v>3</v>
      </c>
      <c r="B97" s="23">
        <f aca="true" t="shared" si="21" ref="B97:AA97">B18+B27+B42+B64+B78</f>
        <v>1706.5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1.8</v>
      </c>
      <c r="U97" s="23">
        <f t="shared" si="21"/>
        <v>0</v>
      </c>
      <c r="V97" s="23">
        <f t="shared" si="21"/>
        <v>202</v>
      </c>
      <c r="W97" s="23">
        <f t="shared" si="21"/>
        <v>57.7</v>
      </c>
      <c r="X97" s="23">
        <f t="shared" si="21"/>
        <v>-15.5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2296.4</v>
      </c>
      <c r="AG97" s="28">
        <f>B97+C97-AF97</f>
        <v>870.7999999999997</v>
      </c>
    </row>
    <row r="98" spans="1:33" ht="15.75">
      <c r="A98" s="3" t="s">
        <v>1</v>
      </c>
      <c r="B98" s="23">
        <f aca="true" t="shared" si="22" ref="B98:AA98">B19+B28+B65+B35+B43+B56+B48+B79</f>
        <v>2704.9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148.5</v>
      </c>
      <c r="V98" s="23">
        <f t="shared" si="22"/>
        <v>163.4</v>
      </c>
      <c r="W98" s="23">
        <f t="shared" si="22"/>
        <v>92.39999999999999</v>
      </c>
      <c r="X98" s="23">
        <f t="shared" si="22"/>
        <v>0.1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1879.1000000000001</v>
      </c>
      <c r="AG98" s="28">
        <f>B98+C98-AF98</f>
        <v>2904.5</v>
      </c>
    </row>
    <row r="99" spans="1:33" ht="15.75">
      <c r="A99" s="3" t="s">
        <v>17</v>
      </c>
      <c r="B99" s="23">
        <f aca="true" t="shared" si="23" ref="B99:AD99">B21+B30+B49+B37+B58+B13+B75</f>
        <v>1044.2</v>
      </c>
      <c r="C99" s="23">
        <f t="shared" si="23"/>
        <v>2163.2000000000003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1.7</v>
      </c>
      <c r="U99" s="23">
        <f t="shared" si="23"/>
        <v>3.7</v>
      </c>
      <c r="V99" s="23">
        <f t="shared" si="23"/>
        <v>261.1</v>
      </c>
      <c r="W99" s="23">
        <f t="shared" si="23"/>
        <v>66.4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763.6999999999999</v>
      </c>
      <c r="AG99" s="28">
        <f>B99+C99-AF99</f>
        <v>2443.7000000000007</v>
      </c>
    </row>
    <row r="100" spans="1:33" ht="12.75">
      <c r="A100" s="1" t="s">
        <v>47</v>
      </c>
      <c r="B100" s="2">
        <f aca="true" t="shared" si="24" ref="B100:U100">B94-B95-B96-B97-B98-B99</f>
        <v>19237.799999999977</v>
      </c>
      <c r="C100" s="2">
        <f t="shared" si="24"/>
        <v>16598.2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304.70000000000005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49.700000000004366</v>
      </c>
      <c r="U100" s="2">
        <f t="shared" si="24"/>
        <v>1.8999999999996815</v>
      </c>
      <c r="V100" s="2"/>
      <c r="W100" s="2"/>
      <c r="X100" s="2">
        <f aca="true" t="shared" si="25" ref="X100:AD100">X94-X95-X96-X97-X98-X99</f>
        <v>841.3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16893.599999999995</v>
      </c>
      <c r="AG100" s="2">
        <f>AG94-AG95-AG96-AG97-AG98-AG99</f>
        <v>18942.39999999998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7" sqref="B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2" t="s">
        <v>82</v>
      </c>
      <c r="B5" s="46">
        <f>SUM(C5:AB5)</f>
        <v>2039.8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>
        <v>2039.8</v>
      </c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25735.399999999998</v>
      </c>
      <c r="C7" s="73">
        <v>16060.7</v>
      </c>
      <c r="D7" s="46"/>
      <c r="E7" s="47">
        <v>12304.9</v>
      </c>
      <c r="F7" s="47"/>
      <c r="G7" s="47"/>
      <c r="H7" s="75"/>
      <c r="I7" s="47"/>
      <c r="J7" s="48"/>
      <c r="K7" s="47"/>
      <c r="L7" s="47"/>
      <c r="M7" s="47">
        <v>12304.8</v>
      </c>
      <c r="N7" s="47"/>
      <c r="O7" s="47"/>
      <c r="P7" s="47">
        <v>1125.7</v>
      </c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49160.4</v>
      </c>
      <c r="C8" s="41">
        <v>125719.2</v>
      </c>
      <c r="D8" s="44">
        <v>5905.8</v>
      </c>
      <c r="E8" s="56">
        <v>4779.6</v>
      </c>
      <c r="F8" s="56">
        <v>576.5</v>
      </c>
      <c r="G8" s="56">
        <v>2711.5</v>
      </c>
      <c r="H8" s="56">
        <v>2992.8</v>
      </c>
      <c r="I8" s="56">
        <v>5322.9</v>
      </c>
      <c r="J8" s="57">
        <v>1408.8</v>
      </c>
      <c r="K8" s="56">
        <v>989.8</v>
      </c>
      <c r="L8" s="56">
        <v>710</v>
      </c>
      <c r="M8" s="56">
        <v>1886.6</v>
      </c>
      <c r="N8" s="56">
        <v>1785.9</v>
      </c>
      <c r="O8" s="56">
        <v>3601.3</v>
      </c>
      <c r="P8" s="56">
        <v>2009.2</v>
      </c>
      <c r="Q8" s="56">
        <v>1908.3</v>
      </c>
      <c r="R8" s="56">
        <v>4980.6</v>
      </c>
      <c r="S8" s="58">
        <v>1953.8</v>
      </c>
      <c r="T8" s="58">
        <v>2931.6</v>
      </c>
      <c r="U8" s="56">
        <v>2705.4</v>
      </c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79258.40000000001</v>
      </c>
      <c r="C9" s="25">
        <f t="shared" si="0"/>
        <v>55364.99999999999</v>
      </c>
      <c r="D9" s="25">
        <f t="shared" si="0"/>
        <v>630.6</v>
      </c>
      <c r="E9" s="25">
        <f t="shared" si="0"/>
        <v>591.5000000000001</v>
      </c>
      <c r="F9" s="25">
        <f t="shared" si="0"/>
        <v>3679.7000000000003</v>
      </c>
      <c r="G9" s="25">
        <f t="shared" si="0"/>
        <v>328.8</v>
      </c>
      <c r="H9" s="25">
        <f t="shared" si="0"/>
        <v>2728.6000000000004</v>
      </c>
      <c r="I9" s="25">
        <f t="shared" si="0"/>
        <v>4627.400000000001</v>
      </c>
      <c r="J9" s="25">
        <f t="shared" si="0"/>
        <v>2267.9</v>
      </c>
      <c r="K9" s="25">
        <f t="shared" si="0"/>
        <v>3722.9</v>
      </c>
      <c r="L9" s="25">
        <f t="shared" si="0"/>
        <v>14065.099999999999</v>
      </c>
      <c r="M9" s="25">
        <f t="shared" si="0"/>
        <v>5034.4</v>
      </c>
      <c r="N9" s="25">
        <f t="shared" si="0"/>
        <v>437</v>
      </c>
      <c r="O9" s="25">
        <f t="shared" si="0"/>
        <v>3705.2000000000007</v>
      </c>
      <c r="P9" s="25">
        <f t="shared" si="0"/>
        <v>126.19999999999997</v>
      </c>
      <c r="Q9" s="25">
        <f t="shared" si="0"/>
        <v>1071.9</v>
      </c>
      <c r="R9" s="25">
        <f t="shared" si="0"/>
        <v>5597.1</v>
      </c>
      <c r="S9" s="25">
        <f t="shared" si="0"/>
        <v>13046.000000000002</v>
      </c>
      <c r="T9" s="25">
        <f t="shared" si="0"/>
        <v>4739.200000000001</v>
      </c>
      <c r="U9" s="25">
        <f t="shared" si="0"/>
        <v>26967.6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93367.1</v>
      </c>
      <c r="AG9" s="51">
        <f>AG10+AG15+AG24+AG33+AG47+AG52+AG54+AG61+AG62+AG71+AG72+AG76+AG88+AG81+AG83+AG82+AG69+AG89+AG91+AG90+AG70+AG40+AG92</f>
        <v>41256.3</v>
      </c>
      <c r="AH9" s="50"/>
      <c r="AI9" s="50"/>
    </row>
    <row r="10" spans="1:33" ht="15.75">
      <c r="A10" s="4" t="s">
        <v>4</v>
      </c>
      <c r="B10" s="23">
        <v>4449.7</v>
      </c>
      <c r="C10" s="23">
        <v>2281.5</v>
      </c>
      <c r="D10" s="23">
        <v>7.1</v>
      </c>
      <c r="E10" s="23">
        <v>21.4</v>
      </c>
      <c r="F10" s="23">
        <v>305.8</v>
      </c>
      <c r="G10" s="23">
        <v>72.7</v>
      </c>
      <c r="H10" s="23">
        <v>149.3</v>
      </c>
      <c r="I10" s="23">
        <v>55.7</v>
      </c>
      <c r="J10" s="26">
        <v>193.1</v>
      </c>
      <c r="K10" s="23">
        <v>716.1</v>
      </c>
      <c r="L10" s="23">
        <v>753</v>
      </c>
      <c r="M10" s="23">
        <v>225.4</v>
      </c>
      <c r="N10" s="23">
        <v>68.8</v>
      </c>
      <c r="O10" s="28">
        <v>222.3</v>
      </c>
      <c r="P10" s="23">
        <v>42.8</v>
      </c>
      <c r="Q10" s="23">
        <v>28.9</v>
      </c>
      <c r="R10" s="23">
        <v>44.2</v>
      </c>
      <c r="S10" s="27">
        <v>47.2</v>
      </c>
      <c r="T10" s="27">
        <v>54</v>
      </c>
      <c r="U10" s="27">
        <v>1181.3</v>
      </c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4189.1</v>
      </c>
      <c r="AG10" s="28">
        <f>B10+C10-AF10</f>
        <v>2542.0999999999995</v>
      </c>
    </row>
    <row r="11" spans="1:33" ht="15.75">
      <c r="A11" s="3" t="s">
        <v>5</v>
      </c>
      <c r="B11" s="23">
        <f>3633.7+39.5</f>
        <v>3673.2</v>
      </c>
      <c r="C11" s="23">
        <v>431</v>
      </c>
      <c r="D11" s="23"/>
      <c r="E11" s="23"/>
      <c r="F11" s="23">
        <v>239.8</v>
      </c>
      <c r="G11" s="23"/>
      <c r="H11" s="23">
        <v>6.2</v>
      </c>
      <c r="I11" s="23"/>
      <c r="J11" s="27">
        <v>141</v>
      </c>
      <c r="K11" s="23">
        <v>632.1</v>
      </c>
      <c r="L11" s="23">
        <v>439</v>
      </c>
      <c r="M11" s="23">
        <v>186.1</v>
      </c>
      <c r="N11" s="23"/>
      <c r="O11" s="28">
        <v>18.8</v>
      </c>
      <c r="P11" s="23"/>
      <c r="Q11" s="23"/>
      <c r="R11" s="23">
        <v>0.1</v>
      </c>
      <c r="S11" s="27">
        <v>5.2</v>
      </c>
      <c r="T11" s="27">
        <v>12.4</v>
      </c>
      <c r="U11" s="27">
        <v>1144</v>
      </c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2824.7</v>
      </c>
      <c r="AG11" s="28">
        <f>B11+C11-AF11</f>
        <v>1279.5</v>
      </c>
    </row>
    <row r="12" spans="1:33" ht="15.75">
      <c r="A12" s="3" t="s">
        <v>2</v>
      </c>
      <c r="B12" s="37">
        <f>402-64.4-240.7</f>
        <v>96.90000000000003</v>
      </c>
      <c r="C12" s="23">
        <v>807.9</v>
      </c>
      <c r="D12" s="23"/>
      <c r="E12" s="23"/>
      <c r="F12" s="23">
        <v>0.6</v>
      </c>
      <c r="G12" s="23">
        <v>21.5</v>
      </c>
      <c r="H12" s="23">
        <v>72.7</v>
      </c>
      <c r="I12" s="23">
        <v>25.2</v>
      </c>
      <c r="J12" s="27">
        <v>8.4</v>
      </c>
      <c r="K12" s="23">
        <v>48.5</v>
      </c>
      <c r="L12" s="23">
        <v>183.4</v>
      </c>
      <c r="M12" s="23"/>
      <c r="N12" s="23">
        <v>46.4</v>
      </c>
      <c r="O12" s="28">
        <v>35.3</v>
      </c>
      <c r="P12" s="23"/>
      <c r="Q12" s="23">
        <v>0.6</v>
      </c>
      <c r="R12" s="23">
        <v>19.7</v>
      </c>
      <c r="S12" s="27">
        <v>23.8</v>
      </c>
      <c r="T12" s="27">
        <v>31.4</v>
      </c>
      <c r="U12" s="27">
        <v>22.1</v>
      </c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539.6</v>
      </c>
      <c r="AG12" s="28">
        <f>B12+C12-AF12</f>
        <v>365.19999999999993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679.5999999999999</v>
      </c>
      <c r="C14" s="23">
        <f t="shared" si="2"/>
        <v>1042.6</v>
      </c>
      <c r="D14" s="23">
        <f t="shared" si="2"/>
        <v>7.1</v>
      </c>
      <c r="E14" s="23">
        <f t="shared" si="2"/>
        <v>21.4</v>
      </c>
      <c r="F14" s="23">
        <f t="shared" si="2"/>
        <v>65.4</v>
      </c>
      <c r="G14" s="23">
        <f t="shared" si="2"/>
        <v>51.2</v>
      </c>
      <c r="H14" s="23">
        <f t="shared" si="2"/>
        <v>70.40000000000002</v>
      </c>
      <c r="I14" s="23">
        <f t="shared" si="2"/>
        <v>30.500000000000004</v>
      </c>
      <c r="J14" s="23">
        <f t="shared" si="2"/>
        <v>43.699999999999996</v>
      </c>
      <c r="K14" s="23">
        <f t="shared" si="2"/>
        <v>35.5</v>
      </c>
      <c r="L14" s="23">
        <f t="shared" si="2"/>
        <v>130.6</v>
      </c>
      <c r="M14" s="23">
        <f t="shared" si="2"/>
        <v>39.30000000000001</v>
      </c>
      <c r="N14" s="23">
        <f t="shared" si="2"/>
        <v>22.4</v>
      </c>
      <c r="O14" s="23">
        <f t="shared" si="2"/>
        <v>168.2</v>
      </c>
      <c r="P14" s="23">
        <f t="shared" si="2"/>
        <v>42.8</v>
      </c>
      <c r="Q14" s="23">
        <f t="shared" si="2"/>
        <v>28.299999999999997</v>
      </c>
      <c r="R14" s="23">
        <f t="shared" si="2"/>
        <v>24.400000000000002</v>
      </c>
      <c r="S14" s="23">
        <f t="shared" si="2"/>
        <v>18.2</v>
      </c>
      <c r="T14" s="23">
        <f t="shared" si="2"/>
        <v>10.200000000000003</v>
      </c>
      <c r="U14" s="23">
        <f t="shared" si="2"/>
        <v>15.199999999999953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824.8</v>
      </c>
      <c r="AG14" s="28">
        <f>AG10-AG11-AG12-AG13</f>
        <v>897.3999999999995</v>
      </c>
    </row>
    <row r="15" spans="1:33" ht="15" customHeight="1">
      <c r="A15" s="4" t="s">
        <v>6</v>
      </c>
      <c r="B15" s="23">
        <f>30483.1+870.7-870.7+186</f>
        <v>30669.1</v>
      </c>
      <c r="C15" s="23">
        <v>25813.1</v>
      </c>
      <c r="D15" s="45"/>
      <c r="E15" s="45">
        <v>116</v>
      </c>
      <c r="F15" s="23">
        <v>2361</v>
      </c>
      <c r="G15" s="23">
        <v>124.2</v>
      </c>
      <c r="H15" s="23">
        <v>1521.7</v>
      </c>
      <c r="I15" s="23">
        <v>81.6</v>
      </c>
      <c r="J15" s="27">
        <v>18.8</v>
      </c>
      <c r="K15" s="23">
        <v>42.6</v>
      </c>
      <c r="L15" s="23">
        <v>11321.8</v>
      </c>
      <c r="M15" s="23">
        <v>863</v>
      </c>
      <c r="N15" s="23">
        <v>13.4</v>
      </c>
      <c r="O15" s="28">
        <v>2286.8</v>
      </c>
      <c r="P15" s="23">
        <v>8.9</v>
      </c>
      <c r="Q15" s="28">
        <v>8.6</v>
      </c>
      <c r="R15" s="23">
        <v>2858.5</v>
      </c>
      <c r="S15" s="27"/>
      <c r="T15" s="27">
        <v>2380</v>
      </c>
      <c r="U15" s="27">
        <v>20468.4</v>
      </c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44475.3</v>
      </c>
      <c r="AG15" s="28">
        <f aca="true" t="shared" si="3" ref="AG15:AG31">B15+C15-AF15</f>
        <v>12006.899999999994</v>
      </c>
    </row>
    <row r="16" spans="1:34" s="71" customFormat="1" ht="15" customHeight="1">
      <c r="A16" s="66" t="s">
        <v>55</v>
      </c>
      <c r="B16" s="67">
        <f>15460.6+870.7</f>
        <v>16331.300000000001</v>
      </c>
      <c r="C16" s="67">
        <v>10805.2</v>
      </c>
      <c r="D16" s="68"/>
      <c r="E16" s="68"/>
      <c r="F16" s="67">
        <v>916.5</v>
      </c>
      <c r="G16" s="67"/>
      <c r="H16" s="67">
        <v>944.5</v>
      </c>
      <c r="I16" s="67">
        <v>14.1</v>
      </c>
      <c r="J16" s="69">
        <v>0.4</v>
      </c>
      <c r="K16" s="67"/>
      <c r="L16" s="67">
        <v>6812.3</v>
      </c>
      <c r="M16" s="67">
        <v>288.2</v>
      </c>
      <c r="N16" s="67"/>
      <c r="O16" s="70">
        <v>202.7</v>
      </c>
      <c r="P16" s="67"/>
      <c r="Q16" s="70"/>
      <c r="R16" s="67">
        <v>1983.5</v>
      </c>
      <c r="S16" s="69"/>
      <c r="T16" s="69">
        <v>2183.3</v>
      </c>
      <c r="U16" s="69">
        <v>10688.4</v>
      </c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24033.9</v>
      </c>
      <c r="AG16" s="72">
        <f t="shared" si="3"/>
        <v>3102.5999999999985</v>
      </c>
      <c r="AH16" s="78"/>
    </row>
    <row r="17" spans="1:34" ht="15.75">
      <c r="A17" s="3" t="s">
        <v>5</v>
      </c>
      <c r="B17" s="23">
        <f>24107.4+1982.1-870.7</f>
        <v>25218.8</v>
      </c>
      <c r="C17" s="23">
        <v>5529.8</v>
      </c>
      <c r="D17" s="23"/>
      <c r="E17" s="23"/>
      <c r="F17" s="23"/>
      <c r="G17" s="23"/>
      <c r="H17" s="23">
        <v>14.2</v>
      </c>
      <c r="I17" s="23"/>
      <c r="J17" s="27"/>
      <c r="K17" s="23"/>
      <c r="L17" s="23">
        <v>9797.8</v>
      </c>
      <c r="M17" s="23"/>
      <c r="N17" s="23"/>
      <c r="O17" s="28"/>
      <c r="P17" s="23"/>
      <c r="Q17" s="28"/>
      <c r="R17" s="23"/>
      <c r="S17" s="27"/>
      <c r="T17" s="27"/>
      <c r="U17" s="27">
        <v>20204</v>
      </c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30016</v>
      </c>
      <c r="AG17" s="28">
        <f t="shared" si="3"/>
        <v>732.5999999999985</v>
      </c>
      <c r="AH17" s="6"/>
    </row>
    <row r="18" spans="1:33" ht="15.75">
      <c r="A18" s="3" t="s">
        <v>3</v>
      </c>
      <c r="B18" s="23">
        <v>0</v>
      </c>
      <c r="C18" s="23">
        <v>11.6</v>
      </c>
      <c r="D18" s="23"/>
      <c r="E18" s="23"/>
      <c r="F18" s="23">
        <v>1.2</v>
      </c>
      <c r="G18" s="23"/>
      <c r="H18" s="23">
        <v>4.2</v>
      </c>
      <c r="I18" s="23"/>
      <c r="J18" s="27"/>
      <c r="K18" s="23"/>
      <c r="L18" s="23">
        <v>0.4</v>
      </c>
      <c r="M18" s="23"/>
      <c r="N18" s="23"/>
      <c r="O18" s="28">
        <v>0.5</v>
      </c>
      <c r="P18" s="23"/>
      <c r="Q18" s="28"/>
      <c r="R18" s="23">
        <v>2.7</v>
      </c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</v>
      </c>
      <c r="AG18" s="28">
        <f t="shared" si="3"/>
        <v>2.5999999999999996</v>
      </c>
    </row>
    <row r="19" spans="1:33" ht="15.75">
      <c r="A19" s="3" t="s">
        <v>1</v>
      </c>
      <c r="B19" s="23">
        <f>2291.6-24.6</f>
        <v>2267</v>
      </c>
      <c r="C19" s="23">
        <v>2846</v>
      </c>
      <c r="D19" s="23"/>
      <c r="E19" s="23">
        <v>116</v>
      </c>
      <c r="F19" s="23">
        <v>416</v>
      </c>
      <c r="G19" s="23">
        <v>124.2</v>
      </c>
      <c r="H19" s="23">
        <v>324.4</v>
      </c>
      <c r="I19" s="23">
        <v>79.5</v>
      </c>
      <c r="J19" s="27">
        <v>17.3</v>
      </c>
      <c r="K19" s="23">
        <v>42.6</v>
      </c>
      <c r="L19" s="23">
        <v>83.3</v>
      </c>
      <c r="M19" s="23">
        <v>118.2</v>
      </c>
      <c r="N19" s="23">
        <v>4.2</v>
      </c>
      <c r="O19" s="28">
        <v>113</v>
      </c>
      <c r="P19" s="23"/>
      <c r="Q19" s="28"/>
      <c r="R19" s="23">
        <v>208.4</v>
      </c>
      <c r="S19" s="27"/>
      <c r="T19" s="27">
        <v>324.5</v>
      </c>
      <c r="U19" s="27">
        <v>35.6</v>
      </c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2007.1999999999998</v>
      </c>
      <c r="AG19" s="28">
        <f t="shared" si="3"/>
        <v>3105.8</v>
      </c>
    </row>
    <row r="20" spans="1:33" ht="15.75">
      <c r="A20" s="3" t="s">
        <v>2</v>
      </c>
      <c r="B20" s="23">
        <f>4005.4-1086.8</f>
        <v>2918.6000000000004</v>
      </c>
      <c r="C20" s="23">
        <v>14781.8</v>
      </c>
      <c r="D20" s="23"/>
      <c r="E20" s="23"/>
      <c r="F20" s="23">
        <v>1759</v>
      </c>
      <c r="G20" s="23"/>
      <c r="H20" s="23">
        <v>722.5</v>
      </c>
      <c r="I20" s="23">
        <v>1.6</v>
      </c>
      <c r="J20" s="27">
        <v>1.5</v>
      </c>
      <c r="K20" s="23"/>
      <c r="L20" s="23">
        <v>847.6</v>
      </c>
      <c r="M20" s="23">
        <v>400.6</v>
      </c>
      <c r="N20" s="23"/>
      <c r="O20" s="28">
        <v>1975.7</v>
      </c>
      <c r="P20" s="23"/>
      <c r="Q20" s="28">
        <v>8.6</v>
      </c>
      <c r="R20" s="23">
        <v>2511.6</v>
      </c>
      <c r="S20" s="27"/>
      <c r="T20" s="27">
        <v>1919.9</v>
      </c>
      <c r="U20" s="27">
        <v>228.8</v>
      </c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10377.4</v>
      </c>
      <c r="AG20" s="28">
        <f t="shared" si="3"/>
        <v>7323.000000000002</v>
      </c>
    </row>
    <row r="21" spans="1:33" ht="15.75">
      <c r="A21" s="3" t="s">
        <v>17</v>
      </c>
      <c r="B21" s="23">
        <v>4</v>
      </c>
      <c r="C21" s="23">
        <v>44.9</v>
      </c>
      <c r="D21" s="23"/>
      <c r="E21" s="23"/>
      <c r="F21" s="23">
        <v>9.8</v>
      </c>
      <c r="G21" s="23"/>
      <c r="H21" s="23">
        <v>1.2</v>
      </c>
      <c r="I21" s="23"/>
      <c r="J21" s="27"/>
      <c r="K21" s="23"/>
      <c r="L21" s="23">
        <v>19.9</v>
      </c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30.9</v>
      </c>
      <c r="AG21" s="28">
        <f t="shared" si="3"/>
        <v>18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260.6999999999989</v>
      </c>
      <c r="C23" s="23">
        <f t="shared" si="4"/>
        <v>2599.0000000000014</v>
      </c>
      <c r="D23" s="23">
        <f t="shared" si="4"/>
        <v>0</v>
      </c>
      <c r="E23" s="23">
        <f t="shared" si="4"/>
        <v>0</v>
      </c>
      <c r="F23" s="23">
        <f t="shared" si="4"/>
        <v>175.00000000000017</v>
      </c>
      <c r="G23" s="23">
        <f t="shared" si="4"/>
        <v>0</v>
      </c>
      <c r="H23" s="23">
        <f t="shared" si="4"/>
        <v>455.2000000000001</v>
      </c>
      <c r="I23" s="23">
        <f t="shared" si="4"/>
        <v>0.4999999999999942</v>
      </c>
      <c r="J23" s="23">
        <f t="shared" si="4"/>
        <v>0</v>
      </c>
      <c r="K23" s="23">
        <f t="shared" si="4"/>
        <v>0</v>
      </c>
      <c r="L23" s="23">
        <f t="shared" si="4"/>
        <v>572.8</v>
      </c>
      <c r="M23" s="23">
        <f t="shared" si="4"/>
        <v>344.19999999999993</v>
      </c>
      <c r="N23" s="23">
        <f t="shared" si="4"/>
        <v>9.2</v>
      </c>
      <c r="O23" s="23">
        <f t="shared" si="4"/>
        <v>197.60000000000014</v>
      </c>
      <c r="P23" s="23">
        <f t="shared" si="4"/>
        <v>8.9</v>
      </c>
      <c r="Q23" s="23">
        <f t="shared" si="4"/>
        <v>0</v>
      </c>
      <c r="R23" s="23">
        <f t="shared" si="4"/>
        <v>135.80000000000018</v>
      </c>
      <c r="S23" s="23">
        <f t="shared" si="4"/>
        <v>0</v>
      </c>
      <c r="T23" s="23">
        <f t="shared" si="4"/>
        <v>135.5999999999999</v>
      </c>
      <c r="U23" s="23">
        <f t="shared" si="4"/>
        <v>1.4495071809506044E-12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2034.800000000002</v>
      </c>
      <c r="AG23" s="28">
        <f t="shared" si="3"/>
        <v>824.8999999999983</v>
      </c>
    </row>
    <row r="24" spans="1:33" ht="15" customHeight="1">
      <c r="A24" s="4" t="s">
        <v>7</v>
      </c>
      <c r="B24" s="23">
        <f>23482.7+2294.8-2219.8</f>
        <v>23557.7</v>
      </c>
      <c r="C24" s="23">
        <v>7065.7</v>
      </c>
      <c r="D24" s="23"/>
      <c r="E24" s="23">
        <v>275.5</v>
      </c>
      <c r="F24" s="23"/>
      <c r="G24" s="23">
        <v>14.3</v>
      </c>
      <c r="H24" s="23"/>
      <c r="I24" s="23">
        <v>4379.9</v>
      </c>
      <c r="J24" s="27">
        <v>838.7</v>
      </c>
      <c r="K24" s="23">
        <v>10.9</v>
      </c>
      <c r="L24" s="23">
        <v>1404.6</v>
      </c>
      <c r="M24" s="23">
        <v>3639.4</v>
      </c>
      <c r="N24" s="23"/>
      <c r="O24" s="28">
        <v>875.9</v>
      </c>
      <c r="P24" s="23">
        <v>69.1</v>
      </c>
      <c r="Q24" s="28"/>
      <c r="R24" s="28">
        <v>2076.5</v>
      </c>
      <c r="S24" s="27">
        <v>10377.8</v>
      </c>
      <c r="T24" s="27">
        <v>1016.3</v>
      </c>
      <c r="U24" s="27">
        <v>1046.5</v>
      </c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26025.399999999998</v>
      </c>
      <c r="AG24" s="28">
        <f t="shared" si="3"/>
        <v>4598.000000000004</v>
      </c>
    </row>
    <row r="25" spans="1:34" s="71" customFormat="1" ht="15" customHeight="1">
      <c r="A25" s="66" t="s">
        <v>56</v>
      </c>
      <c r="B25" s="67">
        <f>9149.1+255</f>
        <v>9404.1</v>
      </c>
      <c r="C25" s="67">
        <v>5255.5</v>
      </c>
      <c r="D25" s="67"/>
      <c r="E25" s="67">
        <v>214.7</v>
      </c>
      <c r="F25" s="67"/>
      <c r="G25" s="67"/>
      <c r="H25" s="67"/>
      <c r="I25" s="67">
        <v>1311.2</v>
      </c>
      <c r="J25" s="69">
        <v>731.2</v>
      </c>
      <c r="K25" s="67"/>
      <c r="L25" s="67">
        <v>586.8</v>
      </c>
      <c r="M25" s="67"/>
      <c r="N25" s="67"/>
      <c r="O25" s="70">
        <v>853.4</v>
      </c>
      <c r="P25" s="67">
        <v>4.2</v>
      </c>
      <c r="Q25" s="70"/>
      <c r="R25" s="70">
        <v>2006.8</v>
      </c>
      <c r="S25" s="69">
        <f>255+2459.1</f>
        <v>2714.1</v>
      </c>
      <c r="T25" s="69">
        <v>959.8</v>
      </c>
      <c r="U25" s="69">
        <v>1042.2</v>
      </c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10424.4</v>
      </c>
      <c r="AG25" s="72">
        <f t="shared" si="3"/>
        <v>4235.200000000001</v>
      </c>
      <c r="AH25" s="78"/>
    </row>
    <row r="26" spans="1:34" ht="15.75">
      <c r="A26" s="3" t="s">
        <v>5</v>
      </c>
      <c r="B26" s="23">
        <f>16075.8+2294.8-2294.8</f>
        <v>16075.8</v>
      </c>
      <c r="C26" s="23">
        <v>2458.7</v>
      </c>
      <c r="D26" s="23"/>
      <c r="E26" s="23"/>
      <c r="F26" s="23"/>
      <c r="G26" s="23"/>
      <c r="H26" s="23"/>
      <c r="I26" s="23">
        <v>3161.7</v>
      </c>
      <c r="J26" s="27"/>
      <c r="K26" s="23"/>
      <c r="L26" s="23">
        <v>1387.7</v>
      </c>
      <c r="M26" s="23">
        <v>3639.2</v>
      </c>
      <c r="N26" s="23"/>
      <c r="O26" s="28"/>
      <c r="P26" s="23"/>
      <c r="Q26" s="28"/>
      <c r="R26" s="23"/>
      <c r="S26" s="27">
        <v>10319.6</v>
      </c>
      <c r="T26" s="27"/>
      <c r="U26" s="27">
        <v>7.5</v>
      </c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18515.7</v>
      </c>
      <c r="AG26" s="28">
        <f t="shared" si="3"/>
        <v>18.799999999999272</v>
      </c>
      <c r="AH26" s="6"/>
    </row>
    <row r="27" spans="1:33" ht="15.75">
      <c r="A27" s="3" t="s">
        <v>3</v>
      </c>
      <c r="B27" s="23">
        <f>904.2+475.3</f>
        <v>1379.5</v>
      </c>
      <c r="C27" s="23">
        <v>769.4</v>
      </c>
      <c r="D27" s="23"/>
      <c r="E27" s="23">
        <v>160.4</v>
      </c>
      <c r="F27" s="23"/>
      <c r="G27" s="23">
        <v>14.3</v>
      </c>
      <c r="H27" s="23"/>
      <c r="I27" s="23">
        <v>238.4</v>
      </c>
      <c r="J27" s="27">
        <v>156.5</v>
      </c>
      <c r="K27" s="23"/>
      <c r="L27" s="23"/>
      <c r="M27" s="23"/>
      <c r="N27" s="23"/>
      <c r="O27" s="28">
        <v>270.6</v>
      </c>
      <c r="P27" s="23">
        <v>14</v>
      </c>
      <c r="Q27" s="28"/>
      <c r="R27" s="23">
        <v>286.7</v>
      </c>
      <c r="S27" s="27"/>
      <c r="T27" s="27">
        <v>257.9</v>
      </c>
      <c r="U27" s="27">
        <v>11</v>
      </c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1409.8000000000002</v>
      </c>
      <c r="AG27" s="28">
        <f t="shared" si="3"/>
        <v>739.0999999999999</v>
      </c>
    </row>
    <row r="28" spans="1:33" ht="15.75">
      <c r="A28" s="3" t="s">
        <v>1</v>
      </c>
      <c r="B28" s="23">
        <f>225.9+244.9</f>
        <v>470.8</v>
      </c>
      <c r="C28" s="23">
        <v>9.2</v>
      </c>
      <c r="D28" s="23"/>
      <c r="E28" s="23">
        <v>17.6</v>
      </c>
      <c r="F28" s="23"/>
      <c r="G28" s="23"/>
      <c r="H28" s="23"/>
      <c r="I28" s="23">
        <v>22.8</v>
      </c>
      <c r="J28" s="27">
        <v>23.9</v>
      </c>
      <c r="K28" s="23"/>
      <c r="L28" s="23"/>
      <c r="M28" s="23"/>
      <c r="N28" s="23"/>
      <c r="O28" s="28">
        <v>106.8</v>
      </c>
      <c r="P28" s="23"/>
      <c r="Q28" s="28"/>
      <c r="R28" s="23">
        <v>15</v>
      </c>
      <c r="S28" s="27">
        <v>1.4</v>
      </c>
      <c r="T28" s="27">
        <v>242</v>
      </c>
      <c r="U28" s="27">
        <v>8.8</v>
      </c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438.3</v>
      </c>
      <c r="AG28" s="28">
        <f t="shared" si="3"/>
        <v>41.69999999999999</v>
      </c>
    </row>
    <row r="29" spans="1:33" ht="15.75">
      <c r="A29" s="3" t="s">
        <v>2</v>
      </c>
      <c r="B29" s="23">
        <f>5526.4-735.2</f>
        <v>4791.2</v>
      </c>
      <c r="C29" s="23">
        <v>2906.3</v>
      </c>
      <c r="D29" s="23"/>
      <c r="E29" s="23">
        <v>58.3</v>
      </c>
      <c r="F29" s="23"/>
      <c r="G29" s="23"/>
      <c r="H29" s="23"/>
      <c r="I29" s="23">
        <v>697.8</v>
      </c>
      <c r="J29" s="27">
        <v>584.7</v>
      </c>
      <c r="K29" s="23"/>
      <c r="L29" s="23"/>
      <c r="M29" s="23"/>
      <c r="N29" s="23"/>
      <c r="O29" s="28">
        <v>326.6</v>
      </c>
      <c r="P29" s="23"/>
      <c r="Q29" s="28"/>
      <c r="R29" s="23">
        <v>1519.9</v>
      </c>
      <c r="S29" s="27"/>
      <c r="T29" s="27">
        <v>375.4</v>
      </c>
      <c r="U29" s="27">
        <v>1004.9</v>
      </c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4567.6</v>
      </c>
      <c r="AG29" s="28">
        <f t="shared" si="3"/>
        <v>3129.8999999999996</v>
      </c>
    </row>
    <row r="30" spans="1:33" ht="15.75">
      <c r="A30" s="3" t="s">
        <v>17</v>
      </c>
      <c r="B30" s="23">
        <f>170.3-13.6</f>
        <v>156.70000000000002</v>
      </c>
      <c r="C30" s="23">
        <v>55.1</v>
      </c>
      <c r="D30" s="23"/>
      <c r="E30" s="23"/>
      <c r="F30" s="23"/>
      <c r="G30" s="23"/>
      <c r="H30" s="23"/>
      <c r="I30" s="23"/>
      <c r="J30" s="27">
        <v>1.3</v>
      </c>
      <c r="K30" s="23"/>
      <c r="L30" s="23"/>
      <c r="M30" s="23"/>
      <c r="N30" s="23"/>
      <c r="O30" s="28">
        <v>72.7</v>
      </c>
      <c r="P30" s="23"/>
      <c r="Q30" s="28"/>
      <c r="R30" s="23">
        <v>69.5</v>
      </c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143.5</v>
      </c>
      <c r="AG30" s="28">
        <f t="shared" si="3"/>
        <v>68.30000000000001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683.7000000000014</v>
      </c>
      <c r="C32" s="23">
        <f t="shared" si="5"/>
        <v>866.9999999999999</v>
      </c>
      <c r="D32" s="23">
        <f t="shared" si="5"/>
        <v>0</v>
      </c>
      <c r="E32" s="23">
        <f t="shared" si="5"/>
        <v>39.2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259.19999999999993</v>
      </c>
      <c r="J32" s="23">
        <f t="shared" si="5"/>
        <v>72.30000000000003</v>
      </c>
      <c r="K32" s="23">
        <f t="shared" si="5"/>
        <v>10.9</v>
      </c>
      <c r="L32" s="23">
        <f t="shared" si="5"/>
        <v>16.899999999999864</v>
      </c>
      <c r="M32" s="23">
        <f t="shared" si="5"/>
        <v>0.20000000000027285</v>
      </c>
      <c r="N32" s="23">
        <f t="shared" si="5"/>
        <v>0</v>
      </c>
      <c r="O32" s="23">
        <f t="shared" si="5"/>
        <v>99.19999999999992</v>
      </c>
      <c r="P32" s="23">
        <f t="shared" si="5"/>
        <v>55.099999999999994</v>
      </c>
      <c r="Q32" s="23">
        <f t="shared" si="5"/>
        <v>0</v>
      </c>
      <c r="R32" s="23">
        <f t="shared" si="5"/>
        <v>185.39999999999986</v>
      </c>
      <c r="S32" s="23">
        <f t="shared" si="5"/>
        <v>56.79999999999891</v>
      </c>
      <c r="T32" s="23">
        <f t="shared" si="5"/>
        <v>141</v>
      </c>
      <c r="U32" s="23">
        <f t="shared" si="5"/>
        <v>14.300000000000068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950.4999999999989</v>
      </c>
      <c r="AG32" s="28">
        <f>AG24-AG26-AG27-AG28-AG29-AG30-AG31</f>
        <v>600.200000000005</v>
      </c>
    </row>
    <row r="33" spans="1:33" ht="15" customHeight="1">
      <c r="A33" s="4" t="s">
        <v>8</v>
      </c>
      <c r="B33" s="23">
        <f>206+29.8</f>
        <v>235.8</v>
      </c>
      <c r="C33" s="23">
        <v>325.1</v>
      </c>
      <c r="D33" s="23"/>
      <c r="E33" s="23"/>
      <c r="F33" s="23"/>
      <c r="G33" s="23"/>
      <c r="H33" s="23"/>
      <c r="I33" s="23"/>
      <c r="J33" s="27">
        <v>14.4</v>
      </c>
      <c r="K33" s="23"/>
      <c r="L33" s="23">
        <v>50.8</v>
      </c>
      <c r="M33" s="23">
        <v>68.8</v>
      </c>
      <c r="N33" s="23"/>
      <c r="O33" s="28"/>
      <c r="P33" s="23"/>
      <c r="Q33" s="28">
        <v>33.8</v>
      </c>
      <c r="R33" s="23"/>
      <c r="S33" s="27">
        <v>4.7</v>
      </c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172.5</v>
      </c>
      <c r="AG33" s="28">
        <f aca="true" t="shared" si="6" ref="AG33:AG38">B33+C33-AF33</f>
        <v>388.4000000000001</v>
      </c>
    </row>
    <row r="34" spans="1:33" ht="15.75">
      <c r="A34" s="3" t="s">
        <v>5</v>
      </c>
      <c r="B34" s="23">
        <v>133.7</v>
      </c>
      <c r="C34" s="23">
        <v>47.1</v>
      </c>
      <c r="D34" s="23"/>
      <c r="E34" s="23"/>
      <c r="F34" s="23"/>
      <c r="G34" s="23"/>
      <c r="H34" s="23"/>
      <c r="I34" s="23"/>
      <c r="J34" s="27"/>
      <c r="K34" s="23"/>
      <c r="L34" s="23">
        <v>50.8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50.8</v>
      </c>
      <c r="AG34" s="28">
        <f t="shared" si="6"/>
        <v>130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69.2</v>
      </c>
      <c r="C36" s="23">
        <v>124.1</v>
      </c>
      <c r="D36" s="23"/>
      <c r="E36" s="23"/>
      <c r="F36" s="23"/>
      <c r="G36" s="23"/>
      <c r="H36" s="23"/>
      <c r="I36" s="23"/>
      <c r="J36" s="27">
        <v>6.3</v>
      </c>
      <c r="K36" s="23"/>
      <c r="L36" s="23"/>
      <c r="M36" s="23">
        <v>65.8</v>
      </c>
      <c r="N36" s="23"/>
      <c r="O36" s="28"/>
      <c r="P36" s="23"/>
      <c r="Q36" s="28">
        <v>8.5</v>
      </c>
      <c r="R36" s="23"/>
      <c r="S36" s="27">
        <v>4.7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85.3</v>
      </c>
      <c r="AG36" s="28">
        <f t="shared" si="6"/>
        <v>108.00000000000001</v>
      </c>
    </row>
    <row r="37" spans="1:33" ht="15.75">
      <c r="A37" s="3" t="s">
        <v>17</v>
      </c>
      <c r="B37" s="23">
        <v>0</v>
      </c>
      <c r="C37" s="23"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32.90000000000002</v>
      </c>
      <c r="C39" s="23">
        <f t="shared" si="7"/>
        <v>69.9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8.100000000000001</v>
      </c>
      <c r="K39" s="23">
        <f t="shared" si="7"/>
        <v>0</v>
      </c>
      <c r="L39" s="23">
        <f t="shared" si="7"/>
        <v>0</v>
      </c>
      <c r="M39" s="23">
        <f t="shared" si="7"/>
        <v>3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25.299999999999997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36.4</v>
      </c>
      <c r="AG39" s="28">
        <f>AG33-AG34-AG36-AG38-AG35-AG37</f>
        <v>66.40000000000009</v>
      </c>
    </row>
    <row r="40" spans="1:33" ht="15" customHeight="1">
      <c r="A40" s="4" t="s">
        <v>34</v>
      </c>
      <c r="B40" s="23">
        <v>785.6</v>
      </c>
      <c r="C40" s="23">
        <v>146.5</v>
      </c>
      <c r="D40" s="23"/>
      <c r="E40" s="23"/>
      <c r="F40" s="23"/>
      <c r="G40" s="23"/>
      <c r="H40" s="23"/>
      <c r="I40" s="23"/>
      <c r="J40" s="27"/>
      <c r="K40" s="23">
        <v>344.2</v>
      </c>
      <c r="L40" s="23"/>
      <c r="M40" s="23"/>
      <c r="N40" s="23">
        <v>56.2</v>
      </c>
      <c r="O40" s="28"/>
      <c r="P40" s="23"/>
      <c r="Q40" s="28"/>
      <c r="R40" s="28"/>
      <c r="S40" s="27">
        <v>44.4</v>
      </c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444.79999999999995</v>
      </c>
      <c r="AG40" s="28">
        <f aca="true" t="shared" si="8" ref="AG40:AG45">B40+C40-AF40</f>
        <v>487.30000000000007</v>
      </c>
    </row>
    <row r="41" spans="1:34" ht="15.75">
      <c r="A41" s="3" t="s">
        <v>5</v>
      </c>
      <c r="B41" s="23">
        <v>634.3</v>
      </c>
      <c r="C41" s="23">
        <v>46.5</v>
      </c>
      <c r="D41" s="23"/>
      <c r="E41" s="23"/>
      <c r="F41" s="23"/>
      <c r="G41" s="23"/>
      <c r="H41" s="23"/>
      <c r="I41" s="23"/>
      <c r="J41" s="27"/>
      <c r="K41" s="23">
        <v>270.6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270.6</v>
      </c>
      <c r="AG41" s="28">
        <f t="shared" si="8"/>
        <v>410.19999999999993</v>
      </c>
      <c r="AH41" s="6"/>
    </row>
    <row r="42" spans="1:33" ht="15.75">
      <c r="A42" s="3" t="s">
        <v>3</v>
      </c>
      <c r="B42" s="23">
        <v>0</v>
      </c>
      <c r="C42" s="23">
        <v>0.2</v>
      </c>
      <c r="D42" s="23"/>
      <c r="E42" s="23"/>
      <c r="F42" s="23"/>
      <c r="G42" s="23"/>
      <c r="H42" s="23"/>
      <c r="I42" s="23"/>
      <c r="J42" s="27"/>
      <c r="K42" s="23">
        <v>0.2</v>
      </c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0.2</v>
      </c>
      <c r="AG42" s="28">
        <f t="shared" si="8"/>
        <v>0</v>
      </c>
    </row>
    <row r="43" spans="1:33" ht="15.75">
      <c r="A43" s="3" t="s">
        <v>1</v>
      </c>
      <c r="B43" s="23">
        <v>6.4</v>
      </c>
      <c r="C43" s="23">
        <v>8.4</v>
      </c>
      <c r="D43" s="23"/>
      <c r="E43" s="23"/>
      <c r="F43" s="23"/>
      <c r="G43" s="23"/>
      <c r="H43" s="23"/>
      <c r="I43" s="23"/>
      <c r="J43" s="27"/>
      <c r="K43" s="23">
        <v>5.5</v>
      </c>
      <c r="L43" s="23"/>
      <c r="M43" s="23"/>
      <c r="N43" s="23"/>
      <c r="O43" s="28"/>
      <c r="P43" s="23"/>
      <c r="Q43" s="23"/>
      <c r="R43" s="23"/>
      <c r="S43" s="27">
        <v>1.9</v>
      </c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7.4</v>
      </c>
      <c r="AG43" s="28">
        <f t="shared" si="8"/>
        <v>7.4</v>
      </c>
    </row>
    <row r="44" spans="1:33" ht="15.75">
      <c r="A44" s="3" t="s">
        <v>2</v>
      </c>
      <c r="B44" s="23">
        <v>114.5</v>
      </c>
      <c r="C44" s="23">
        <v>64.8</v>
      </c>
      <c r="D44" s="23"/>
      <c r="E44" s="23"/>
      <c r="F44" s="23"/>
      <c r="G44" s="23"/>
      <c r="H44" s="23"/>
      <c r="I44" s="23"/>
      <c r="J44" s="27"/>
      <c r="K44" s="23">
        <v>33.7</v>
      </c>
      <c r="L44" s="23"/>
      <c r="M44" s="23"/>
      <c r="N44" s="23">
        <v>50</v>
      </c>
      <c r="O44" s="28"/>
      <c r="P44" s="23"/>
      <c r="Q44" s="23"/>
      <c r="R44" s="23"/>
      <c r="S44" s="27">
        <v>41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124.7</v>
      </c>
      <c r="AG44" s="28">
        <f t="shared" si="8"/>
        <v>54.60000000000001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30.400000000000063</v>
      </c>
      <c r="C46" s="23">
        <f t="shared" si="10"/>
        <v>26.599999999999994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34.19999999999996</v>
      </c>
      <c r="L46" s="23">
        <f t="shared" si="10"/>
        <v>0</v>
      </c>
      <c r="M46" s="23">
        <f t="shared" si="10"/>
        <v>0</v>
      </c>
      <c r="N46" s="23">
        <f t="shared" si="10"/>
        <v>6.200000000000003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41.89999999999996</v>
      </c>
      <c r="AG46" s="28">
        <f>AG40-AG41-AG42-AG43-AG44-AG45</f>
        <v>15.100000000000122</v>
      </c>
    </row>
    <row r="47" spans="1:33" ht="17.25" customHeight="1">
      <c r="A47" s="4" t="s">
        <v>15</v>
      </c>
      <c r="B47" s="37">
        <v>1082.9</v>
      </c>
      <c r="C47" s="23">
        <v>2535.6</v>
      </c>
      <c r="D47" s="23"/>
      <c r="E47" s="29">
        <v>2.1</v>
      </c>
      <c r="F47" s="29">
        <v>3.3</v>
      </c>
      <c r="G47" s="29">
        <v>2.8</v>
      </c>
      <c r="H47" s="29">
        <v>115.9</v>
      </c>
      <c r="I47" s="29"/>
      <c r="J47" s="30"/>
      <c r="K47" s="29">
        <v>7.8</v>
      </c>
      <c r="L47" s="29"/>
      <c r="M47" s="29">
        <v>53.4</v>
      </c>
      <c r="N47" s="29">
        <v>36.1</v>
      </c>
      <c r="O47" s="32"/>
      <c r="P47" s="29"/>
      <c r="Q47" s="29">
        <v>53.7</v>
      </c>
      <c r="R47" s="29">
        <v>11.6</v>
      </c>
      <c r="S47" s="30">
        <v>72</v>
      </c>
      <c r="T47" s="30"/>
      <c r="U47" s="29">
        <v>419.1</v>
      </c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777.8000000000001</v>
      </c>
      <c r="AG47" s="28">
        <f>B47+C47-AF47</f>
        <v>2840.7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977.9</v>
      </c>
      <c r="C49" s="23">
        <v>2263.3</v>
      </c>
      <c r="D49" s="23"/>
      <c r="E49" s="23"/>
      <c r="F49" s="23">
        <v>2.1</v>
      </c>
      <c r="G49" s="23">
        <v>2.7</v>
      </c>
      <c r="H49" s="23">
        <v>115.7</v>
      </c>
      <c r="I49" s="23"/>
      <c r="J49" s="27"/>
      <c r="K49" s="23">
        <v>7.7</v>
      </c>
      <c r="L49" s="23"/>
      <c r="M49" s="23">
        <v>40</v>
      </c>
      <c r="N49" s="23">
        <v>36</v>
      </c>
      <c r="O49" s="28"/>
      <c r="P49" s="23"/>
      <c r="Q49" s="23">
        <v>4</v>
      </c>
      <c r="R49" s="23">
        <v>11.5</v>
      </c>
      <c r="S49" s="27">
        <v>2.1</v>
      </c>
      <c r="T49" s="27"/>
      <c r="U49" s="23">
        <v>382.5</v>
      </c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604.3</v>
      </c>
      <c r="AG49" s="28">
        <f>B49+C49-AF49</f>
        <v>2636.9000000000005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105.00000000000011</v>
      </c>
      <c r="C51" s="23">
        <f t="shared" si="11"/>
        <v>272.2999999999997</v>
      </c>
      <c r="D51" s="23">
        <f t="shared" si="11"/>
        <v>0</v>
      </c>
      <c r="E51" s="23">
        <f t="shared" si="11"/>
        <v>2.1</v>
      </c>
      <c r="F51" s="23">
        <f t="shared" si="11"/>
        <v>1.1999999999999997</v>
      </c>
      <c r="G51" s="23">
        <f t="shared" si="11"/>
        <v>0.09999999999999964</v>
      </c>
      <c r="H51" s="23">
        <f t="shared" si="11"/>
        <v>0.20000000000000284</v>
      </c>
      <c r="I51" s="23">
        <f t="shared" si="11"/>
        <v>0</v>
      </c>
      <c r="J51" s="23">
        <f t="shared" si="11"/>
        <v>0</v>
      </c>
      <c r="K51" s="23">
        <f t="shared" si="11"/>
        <v>0.09999999999999964</v>
      </c>
      <c r="L51" s="23">
        <f t="shared" si="11"/>
        <v>0</v>
      </c>
      <c r="M51" s="23">
        <f t="shared" si="11"/>
        <v>13.399999999999999</v>
      </c>
      <c r="N51" s="23">
        <f t="shared" si="11"/>
        <v>0.10000000000000142</v>
      </c>
      <c r="O51" s="23">
        <f t="shared" si="11"/>
        <v>0</v>
      </c>
      <c r="P51" s="23">
        <f t="shared" si="11"/>
        <v>0</v>
      </c>
      <c r="Q51" s="23">
        <f t="shared" si="11"/>
        <v>49.7</v>
      </c>
      <c r="R51" s="23">
        <f t="shared" si="11"/>
        <v>0.09999999999999964</v>
      </c>
      <c r="S51" s="23">
        <f t="shared" si="11"/>
        <v>69.9</v>
      </c>
      <c r="T51" s="23">
        <f t="shared" si="11"/>
        <v>0</v>
      </c>
      <c r="U51" s="23">
        <f t="shared" si="11"/>
        <v>36.60000000000002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173.50000000000003</v>
      </c>
      <c r="AG51" s="28">
        <f>AG47-AG49-AG48</f>
        <v>203.79999999999927</v>
      </c>
    </row>
    <row r="52" spans="1:33" ht="15" customHeight="1">
      <c r="A52" s="4" t="s">
        <v>0</v>
      </c>
      <c r="B52" s="23">
        <f>2456+3437.6+1410.1</f>
        <v>7303.700000000001</v>
      </c>
      <c r="C52" s="23">
        <v>3036.5</v>
      </c>
      <c r="D52" s="23"/>
      <c r="E52" s="23"/>
      <c r="F52" s="23">
        <v>701.8</v>
      </c>
      <c r="G52" s="23"/>
      <c r="H52" s="23">
        <v>273.3</v>
      </c>
      <c r="I52" s="23">
        <v>6.3</v>
      </c>
      <c r="J52" s="27">
        <v>34.7</v>
      </c>
      <c r="K52" s="23">
        <v>174.9</v>
      </c>
      <c r="L52" s="23">
        <v>94.7</v>
      </c>
      <c r="M52" s="23"/>
      <c r="N52" s="23">
        <v>137.8</v>
      </c>
      <c r="O52" s="28">
        <v>5.8</v>
      </c>
      <c r="P52" s="23"/>
      <c r="Q52" s="23"/>
      <c r="R52" s="23">
        <v>142.1</v>
      </c>
      <c r="S52" s="27">
        <v>1177.5</v>
      </c>
      <c r="T52" s="27">
        <v>417.5</v>
      </c>
      <c r="U52" s="27">
        <v>1837.3</v>
      </c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5003.7</v>
      </c>
      <c r="AG52" s="28">
        <f aca="true" t="shared" si="12" ref="AG52:AG59">B52+C52-AF52</f>
        <v>5336.500000000001</v>
      </c>
    </row>
    <row r="53" spans="1:33" ht="15" customHeight="1">
      <c r="A53" s="3" t="s">
        <v>2</v>
      </c>
      <c r="B53" s="23">
        <v>413.7</v>
      </c>
      <c r="C53" s="23">
        <v>936.9</v>
      </c>
      <c r="D53" s="23"/>
      <c r="E53" s="23"/>
      <c r="F53" s="23">
        <v>2.1</v>
      </c>
      <c r="G53" s="23"/>
      <c r="H53" s="23">
        <v>273.3</v>
      </c>
      <c r="I53" s="23"/>
      <c r="J53" s="27"/>
      <c r="K53" s="23">
        <v>1.7</v>
      </c>
      <c r="L53" s="23">
        <v>38.7</v>
      </c>
      <c r="M53" s="23"/>
      <c r="N53" s="23"/>
      <c r="O53" s="28"/>
      <c r="P53" s="23"/>
      <c r="Q53" s="23"/>
      <c r="R53" s="23"/>
      <c r="S53" s="27">
        <v>3.6</v>
      </c>
      <c r="T53" s="27"/>
      <c r="U53" s="27">
        <v>64.5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383.90000000000003</v>
      </c>
      <c r="AG53" s="28">
        <f t="shared" si="12"/>
        <v>966.6999999999998</v>
      </c>
    </row>
    <row r="54" spans="1:34" ht="15" customHeight="1">
      <c r="A54" s="4" t="s">
        <v>9</v>
      </c>
      <c r="B54" s="45">
        <f>3730.8+16+102.1</f>
        <v>3848.9</v>
      </c>
      <c r="C54" s="23">
        <v>2106</v>
      </c>
      <c r="D54" s="23"/>
      <c r="E54" s="23">
        <v>132.6</v>
      </c>
      <c r="F54" s="23">
        <v>213.6</v>
      </c>
      <c r="G54" s="23">
        <v>4.4</v>
      </c>
      <c r="H54" s="23">
        <v>600.7</v>
      </c>
      <c r="I54" s="23">
        <v>5</v>
      </c>
      <c r="J54" s="27">
        <v>1.8</v>
      </c>
      <c r="K54" s="23">
        <v>1743.2</v>
      </c>
      <c r="L54" s="23">
        <v>10.9</v>
      </c>
      <c r="M54" s="23">
        <v>7.7</v>
      </c>
      <c r="N54" s="23">
        <v>0.2</v>
      </c>
      <c r="O54" s="28">
        <v>142.8</v>
      </c>
      <c r="P54" s="23">
        <v>2.8</v>
      </c>
      <c r="Q54" s="28">
        <v>270</v>
      </c>
      <c r="R54" s="23">
        <v>69.7</v>
      </c>
      <c r="S54" s="27">
        <v>1</v>
      </c>
      <c r="T54" s="27">
        <v>102</v>
      </c>
      <c r="U54" s="27">
        <v>1930.1</v>
      </c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5238.5</v>
      </c>
      <c r="AG54" s="23">
        <f t="shared" si="12"/>
        <v>716.3999999999996</v>
      </c>
      <c r="AH54" s="6"/>
    </row>
    <row r="55" spans="1:34" ht="15.75">
      <c r="A55" s="3" t="s">
        <v>5</v>
      </c>
      <c r="B55" s="23">
        <f>2417.2+55.7</f>
        <v>2472.8999999999996</v>
      </c>
      <c r="C55" s="23">
        <v>869.8</v>
      </c>
      <c r="D55" s="23"/>
      <c r="E55" s="23"/>
      <c r="F55" s="23"/>
      <c r="G55" s="23"/>
      <c r="H55" s="23"/>
      <c r="I55" s="23"/>
      <c r="J55" s="27"/>
      <c r="K55" s="23">
        <v>1535.1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1738.5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3273.6</v>
      </c>
      <c r="AG55" s="23">
        <f t="shared" si="12"/>
        <v>69.09999999999991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451.4-55.7</f>
        <v>395.7</v>
      </c>
      <c r="C57" s="23">
        <v>962</v>
      </c>
      <c r="D57" s="23"/>
      <c r="E57" s="23">
        <v>54.2</v>
      </c>
      <c r="F57" s="23">
        <v>1</v>
      </c>
      <c r="G57" s="23"/>
      <c r="H57" s="23">
        <v>266.3</v>
      </c>
      <c r="I57" s="23"/>
      <c r="J57" s="27"/>
      <c r="K57" s="23">
        <v>168.2</v>
      </c>
      <c r="L57" s="23"/>
      <c r="M57" s="23">
        <v>1.3</v>
      </c>
      <c r="N57" s="23"/>
      <c r="O57" s="28">
        <v>7</v>
      </c>
      <c r="P57" s="23"/>
      <c r="Q57" s="28">
        <v>179.2</v>
      </c>
      <c r="R57" s="23">
        <v>56.5</v>
      </c>
      <c r="S57" s="27">
        <v>0.7</v>
      </c>
      <c r="T57" s="27"/>
      <c r="U57" s="27">
        <v>176</v>
      </c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910.4000000000001</v>
      </c>
      <c r="AG57" s="23">
        <f t="shared" si="12"/>
        <v>447.29999999999995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976.9000000000004</v>
      </c>
      <c r="C60" s="23">
        <f t="shared" si="13"/>
        <v>274.20000000000005</v>
      </c>
      <c r="D60" s="23">
        <f t="shared" si="13"/>
        <v>0</v>
      </c>
      <c r="E60" s="23">
        <f t="shared" si="13"/>
        <v>78.39999999999999</v>
      </c>
      <c r="F60" s="23">
        <f t="shared" si="13"/>
        <v>212.6</v>
      </c>
      <c r="G60" s="23">
        <f t="shared" si="13"/>
        <v>4.4</v>
      </c>
      <c r="H60" s="23">
        <f t="shared" si="13"/>
        <v>334.40000000000003</v>
      </c>
      <c r="I60" s="23">
        <f t="shared" si="13"/>
        <v>5</v>
      </c>
      <c r="J60" s="23">
        <f t="shared" si="13"/>
        <v>1.8</v>
      </c>
      <c r="K60" s="23">
        <f t="shared" si="13"/>
        <v>39.90000000000015</v>
      </c>
      <c r="L60" s="23">
        <f t="shared" si="13"/>
        <v>7.5</v>
      </c>
      <c r="M60" s="23">
        <f t="shared" si="13"/>
        <v>6.4</v>
      </c>
      <c r="N60" s="23">
        <f t="shared" si="13"/>
        <v>0.2</v>
      </c>
      <c r="O60" s="23">
        <f t="shared" si="13"/>
        <v>135.8</v>
      </c>
      <c r="P60" s="23">
        <f t="shared" si="13"/>
        <v>2.8</v>
      </c>
      <c r="Q60" s="23">
        <f t="shared" si="13"/>
        <v>90.80000000000001</v>
      </c>
      <c r="R60" s="23">
        <f t="shared" si="13"/>
        <v>13.200000000000003</v>
      </c>
      <c r="S60" s="23">
        <f t="shared" si="13"/>
        <v>0.30000000000000004</v>
      </c>
      <c r="T60" s="23">
        <f t="shared" si="13"/>
        <v>102</v>
      </c>
      <c r="U60" s="23">
        <f t="shared" si="13"/>
        <v>15.599999999999909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1051.1</v>
      </c>
      <c r="AG60" s="23">
        <f>AG54-AG55-AG57-AG59-AG56-AG58</f>
        <v>199.99999999999977</v>
      </c>
    </row>
    <row r="61" spans="1:33" ht="15" customHeight="1">
      <c r="A61" s="4" t="s">
        <v>10</v>
      </c>
      <c r="B61" s="23">
        <f>65.3+45.8</f>
        <v>111.1</v>
      </c>
      <c r="C61" s="23">
        <v>59.1</v>
      </c>
      <c r="D61" s="23"/>
      <c r="E61" s="23"/>
      <c r="F61" s="23">
        <v>7.4</v>
      </c>
      <c r="G61" s="23"/>
      <c r="H61" s="23">
        <v>5.9</v>
      </c>
      <c r="I61" s="23"/>
      <c r="J61" s="27">
        <v>2.9</v>
      </c>
      <c r="K61" s="23">
        <v>4.9</v>
      </c>
      <c r="L61" s="23"/>
      <c r="M61" s="23"/>
      <c r="N61" s="23"/>
      <c r="O61" s="28"/>
      <c r="P61" s="23"/>
      <c r="Q61" s="28">
        <v>6.8</v>
      </c>
      <c r="R61" s="23"/>
      <c r="S61" s="27">
        <v>5</v>
      </c>
      <c r="T61" s="27">
        <v>23.5</v>
      </c>
      <c r="U61" s="27">
        <v>59.4</v>
      </c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115.80000000000001</v>
      </c>
      <c r="AG61" s="23">
        <f aca="true" t="shared" si="15" ref="AG61:AG67">B61+C61-AF61</f>
        <v>54.39999999999998</v>
      </c>
    </row>
    <row r="62" spans="1:33" ht="15" customHeight="1">
      <c r="A62" s="4" t="s">
        <v>11</v>
      </c>
      <c r="B62" s="23">
        <v>1470.1</v>
      </c>
      <c r="C62" s="23">
        <v>998</v>
      </c>
      <c r="D62" s="23"/>
      <c r="E62" s="23">
        <v>4.2</v>
      </c>
      <c r="F62" s="23"/>
      <c r="G62" s="23"/>
      <c r="H62" s="23">
        <v>40.7</v>
      </c>
      <c r="I62" s="23"/>
      <c r="J62" s="27"/>
      <c r="K62" s="23">
        <v>1.6</v>
      </c>
      <c r="L62" s="23">
        <v>319.1</v>
      </c>
      <c r="M62" s="23">
        <v>175.9</v>
      </c>
      <c r="N62" s="23">
        <v>68</v>
      </c>
      <c r="O62" s="28">
        <v>0.1</v>
      </c>
      <c r="P62" s="23">
        <v>2.6</v>
      </c>
      <c r="Q62" s="28"/>
      <c r="R62" s="23">
        <v>154.2</v>
      </c>
      <c r="S62" s="27">
        <v>19.6</v>
      </c>
      <c r="T62" s="27">
        <v>3.9</v>
      </c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789.9000000000001</v>
      </c>
      <c r="AG62" s="23">
        <f t="shared" si="15"/>
        <v>1678.1999999999998</v>
      </c>
    </row>
    <row r="63" spans="1:34" ht="15.75">
      <c r="A63" s="3" t="s">
        <v>5</v>
      </c>
      <c r="B63" s="23">
        <v>963.1</v>
      </c>
      <c r="C63" s="23">
        <v>105.8</v>
      </c>
      <c r="D63" s="23"/>
      <c r="E63" s="23"/>
      <c r="F63" s="23"/>
      <c r="G63" s="23"/>
      <c r="H63" s="23"/>
      <c r="I63" s="23"/>
      <c r="J63" s="27"/>
      <c r="K63" s="23"/>
      <c r="L63" s="23">
        <v>319.1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319.1</v>
      </c>
      <c r="AG63" s="23">
        <f t="shared" si="15"/>
        <v>749.8000000000001</v>
      </c>
      <c r="AH63" s="65"/>
    </row>
    <row r="64" spans="1:34" ht="15.75">
      <c r="A64" s="3" t="s">
        <v>3</v>
      </c>
      <c r="B64" s="23">
        <v>0</v>
      </c>
      <c r="C64" s="23">
        <v>1.6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>
        <v>1.4</v>
      </c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1.4</v>
      </c>
      <c r="AG64" s="23">
        <f t="shared" si="15"/>
        <v>0.20000000000000018</v>
      </c>
      <c r="AH64" s="6"/>
    </row>
    <row r="65" spans="1:34" ht="15.75">
      <c r="A65" s="3" t="s">
        <v>1</v>
      </c>
      <c r="B65" s="23">
        <v>20.8</v>
      </c>
      <c r="C65" s="23">
        <v>37.3</v>
      </c>
      <c r="D65" s="23"/>
      <c r="E65" s="23"/>
      <c r="F65" s="23"/>
      <c r="G65" s="23"/>
      <c r="H65" s="23">
        <v>4.1</v>
      </c>
      <c r="I65" s="23"/>
      <c r="J65" s="27"/>
      <c r="K65" s="23"/>
      <c r="L65" s="23"/>
      <c r="M65" s="23">
        <v>20.2</v>
      </c>
      <c r="N65" s="23"/>
      <c r="O65" s="28"/>
      <c r="P65" s="23"/>
      <c r="Q65" s="28"/>
      <c r="R65" s="23">
        <v>11.1</v>
      </c>
      <c r="S65" s="27">
        <v>1.2</v>
      </c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36.6</v>
      </c>
      <c r="AG65" s="23">
        <f t="shared" si="15"/>
        <v>21.499999999999993</v>
      </c>
      <c r="AH65" s="6"/>
    </row>
    <row r="66" spans="1:33" ht="15.75">
      <c r="A66" s="3" t="s">
        <v>2</v>
      </c>
      <c r="B66" s="23">
        <v>113.4</v>
      </c>
      <c r="C66" s="23">
        <v>137.2</v>
      </c>
      <c r="D66" s="23"/>
      <c r="E66" s="23"/>
      <c r="F66" s="23"/>
      <c r="G66" s="23"/>
      <c r="H66" s="23">
        <v>8.3</v>
      </c>
      <c r="I66" s="23"/>
      <c r="J66" s="27"/>
      <c r="K66" s="23"/>
      <c r="L66" s="23"/>
      <c r="M66" s="23">
        <v>19.2</v>
      </c>
      <c r="N66" s="23">
        <v>0.7</v>
      </c>
      <c r="O66" s="28">
        <v>0.1</v>
      </c>
      <c r="P66" s="23"/>
      <c r="Q66" s="23"/>
      <c r="R66" s="23">
        <v>61</v>
      </c>
      <c r="S66" s="27">
        <v>8.6</v>
      </c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97.89999999999999</v>
      </c>
      <c r="AG66" s="23">
        <f t="shared" si="15"/>
        <v>152.7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372.7999999999999</v>
      </c>
      <c r="C68" s="23">
        <f t="shared" si="16"/>
        <v>716.1</v>
      </c>
      <c r="D68" s="23">
        <f t="shared" si="16"/>
        <v>0</v>
      </c>
      <c r="E68" s="23">
        <f t="shared" si="16"/>
        <v>4.2</v>
      </c>
      <c r="F68" s="23">
        <f t="shared" si="16"/>
        <v>0</v>
      </c>
      <c r="G68" s="23">
        <f t="shared" si="16"/>
        <v>0</v>
      </c>
      <c r="H68" s="23">
        <f t="shared" si="16"/>
        <v>28.300000000000004</v>
      </c>
      <c r="I68" s="23">
        <f t="shared" si="16"/>
        <v>0</v>
      </c>
      <c r="J68" s="23">
        <f t="shared" si="16"/>
        <v>0</v>
      </c>
      <c r="K68" s="23">
        <f t="shared" si="16"/>
        <v>1.6</v>
      </c>
      <c r="L68" s="23">
        <f t="shared" si="16"/>
        <v>0</v>
      </c>
      <c r="M68" s="23">
        <f t="shared" si="16"/>
        <v>136.50000000000003</v>
      </c>
      <c r="N68" s="23">
        <f t="shared" si="16"/>
        <v>67.3</v>
      </c>
      <c r="O68" s="23">
        <f t="shared" si="16"/>
        <v>0</v>
      </c>
      <c r="P68" s="23">
        <f t="shared" si="16"/>
        <v>2.6</v>
      </c>
      <c r="Q68" s="23">
        <f t="shared" si="16"/>
        <v>0</v>
      </c>
      <c r="R68" s="23">
        <f t="shared" si="16"/>
        <v>80.69999999999999</v>
      </c>
      <c r="S68" s="23">
        <f t="shared" si="16"/>
        <v>9.800000000000002</v>
      </c>
      <c r="T68" s="23">
        <f t="shared" si="16"/>
        <v>3.9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334.90000000000003</v>
      </c>
      <c r="AG68" s="23">
        <f>AG62-AG63-AG66-AG67-AG65-AG64</f>
        <v>753.9999999999998</v>
      </c>
    </row>
    <row r="69" spans="1:33" ht="31.5">
      <c r="A69" s="4" t="s">
        <v>33</v>
      </c>
      <c r="B69" s="23">
        <f>8+9.9</f>
        <v>17.9</v>
      </c>
      <c r="C69" s="23">
        <v>0.3</v>
      </c>
      <c r="D69" s="23"/>
      <c r="E69" s="23"/>
      <c r="F69" s="23"/>
      <c r="G69" s="23"/>
      <c r="H69" s="23">
        <v>8.2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>
        <v>10</v>
      </c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18.2</v>
      </c>
      <c r="AG69" s="31">
        <f aca="true" t="shared" si="17" ref="AG69:AG92">B69+C69-AF69</f>
        <v>0</v>
      </c>
    </row>
    <row r="70" spans="1:33" ht="15.75">
      <c r="A70" s="4" t="s">
        <v>42</v>
      </c>
      <c r="B70" s="23">
        <v>5.7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5.5</v>
      </c>
      <c r="AG70" s="31">
        <f t="shared" si="17"/>
        <v>1.7000000000000002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2395.1-16+82.4</f>
        <v>2461.5</v>
      </c>
      <c r="C72" s="23">
        <v>3878.1</v>
      </c>
      <c r="D72" s="23">
        <v>14.6</v>
      </c>
      <c r="E72" s="23">
        <v>16.5</v>
      </c>
      <c r="F72" s="23">
        <v>0.1</v>
      </c>
      <c r="G72" s="23">
        <v>89.6</v>
      </c>
      <c r="H72" s="23">
        <v>12.9</v>
      </c>
      <c r="I72" s="23">
        <v>28.3</v>
      </c>
      <c r="J72" s="27">
        <v>1104.9</v>
      </c>
      <c r="K72" s="23">
        <v>21.4</v>
      </c>
      <c r="L72" s="23">
        <v>38.4</v>
      </c>
      <c r="M72" s="23">
        <v>0.8</v>
      </c>
      <c r="N72" s="23">
        <v>13.1</v>
      </c>
      <c r="O72" s="23">
        <v>64.4</v>
      </c>
      <c r="P72" s="23"/>
      <c r="Q72" s="28">
        <v>3</v>
      </c>
      <c r="R72" s="23">
        <f>149.2+14.8</f>
        <v>164</v>
      </c>
      <c r="S72" s="27">
        <v>1211.7</v>
      </c>
      <c r="T72" s="27">
        <f>17.9+40.1+41.4</f>
        <v>99.4</v>
      </c>
      <c r="U72" s="27">
        <f>11.9+3.6</f>
        <v>15.5</v>
      </c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2898.6000000000004</v>
      </c>
      <c r="AG72" s="31">
        <f t="shared" si="17"/>
        <v>3441</v>
      </c>
    </row>
    <row r="73" spans="1:33" ht="15" customHeight="1">
      <c r="A73" s="3" t="s">
        <v>5</v>
      </c>
      <c r="B73" s="23">
        <v>18.9</v>
      </c>
      <c r="C73" s="23">
        <v>39.2</v>
      </c>
      <c r="D73" s="23"/>
      <c r="E73" s="23"/>
      <c r="F73" s="23"/>
      <c r="G73" s="23"/>
      <c r="H73" s="23">
        <v>10.6</v>
      </c>
      <c r="I73" s="23"/>
      <c r="J73" s="27"/>
      <c r="K73" s="23">
        <v>17.8</v>
      </c>
      <c r="L73" s="23"/>
      <c r="M73" s="23"/>
      <c r="N73" s="23"/>
      <c r="O73" s="23"/>
      <c r="P73" s="23"/>
      <c r="Q73" s="28"/>
      <c r="R73" s="23"/>
      <c r="S73" s="27">
        <v>27.6</v>
      </c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56</v>
      </c>
      <c r="AG73" s="31">
        <f t="shared" si="17"/>
        <v>2.1000000000000014</v>
      </c>
    </row>
    <row r="74" spans="1:33" ht="15" customHeight="1">
      <c r="A74" s="3" t="s">
        <v>2</v>
      </c>
      <c r="B74" s="23">
        <v>116.5</v>
      </c>
      <c r="C74" s="23">
        <v>304.9</v>
      </c>
      <c r="D74" s="23"/>
      <c r="E74" s="23"/>
      <c r="F74" s="23">
        <v>0.1</v>
      </c>
      <c r="G74" s="23">
        <v>38</v>
      </c>
      <c r="H74" s="23"/>
      <c r="I74" s="23"/>
      <c r="J74" s="27"/>
      <c r="K74" s="23"/>
      <c r="L74" s="23"/>
      <c r="M74" s="23"/>
      <c r="N74" s="23">
        <v>12.8</v>
      </c>
      <c r="O74" s="23">
        <v>18.7</v>
      </c>
      <c r="P74" s="23"/>
      <c r="Q74" s="28">
        <v>0.1</v>
      </c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69.7</v>
      </c>
      <c r="AG74" s="31">
        <f t="shared" si="17"/>
        <v>351.7</v>
      </c>
    </row>
    <row r="75" spans="1:33" ht="15" customHeight="1">
      <c r="A75" s="3" t="s">
        <v>17</v>
      </c>
      <c r="B75" s="23">
        <f>2.7+75.8</f>
        <v>78.5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>
        <v>2.7</v>
      </c>
      <c r="P75" s="23"/>
      <c r="Q75" s="28"/>
      <c r="R75" s="23"/>
      <c r="S75" s="27"/>
      <c r="T75" s="27">
        <v>41.4</v>
      </c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44.1</v>
      </c>
      <c r="AG75" s="31">
        <f t="shared" si="17"/>
        <v>34.4</v>
      </c>
    </row>
    <row r="76" spans="1:33" s="11" customFormat="1" ht="31.5">
      <c r="A76" s="12" t="s">
        <v>21</v>
      </c>
      <c r="B76" s="23">
        <v>98.8</v>
      </c>
      <c r="C76" s="23">
        <f>454.7-357.1</f>
        <v>97.59999999999997</v>
      </c>
      <c r="D76" s="23">
        <v>84.9</v>
      </c>
      <c r="E76" s="29"/>
      <c r="F76" s="29"/>
      <c r="G76" s="29"/>
      <c r="H76" s="29"/>
      <c r="I76" s="29"/>
      <c r="J76" s="30"/>
      <c r="K76" s="29"/>
      <c r="L76" s="29"/>
      <c r="M76" s="29"/>
      <c r="N76" s="29">
        <v>43.4</v>
      </c>
      <c r="O76" s="29"/>
      <c r="P76" s="29"/>
      <c r="Q76" s="32"/>
      <c r="R76" s="29">
        <f>3.1+5.9</f>
        <v>9</v>
      </c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137.3</v>
      </c>
      <c r="AG76" s="31">
        <f t="shared" si="17"/>
        <v>59.099999999999966</v>
      </c>
    </row>
    <row r="77" spans="1:33" s="11" customFormat="1" ht="15.75">
      <c r="A77" s="3" t="s">
        <v>5</v>
      </c>
      <c r="B77" s="23">
        <v>79.4</v>
      </c>
      <c r="C77" s="23">
        <v>2.3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>
        <v>29.4</v>
      </c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29.4</v>
      </c>
      <c r="AG77" s="31">
        <f t="shared" si="17"/>
        <v>52.300000000000004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>
        <v>84.9</v>
      </c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>
        <v>3.1</v>
      </c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88</v>
      </c>
      <c r="AG78" s="31">
        <f t="shared" si="17"/>
        <v>0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6.3</v>
      </c>
      <c r="C80" s="23">
        <v>4.6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>
        <v>0.1</v>
      </c>
      <c r="O80" s="29"/>
      <c r="P80" s="29"/>
      <c r="Q80" s="32"/>
      <c r="R80" s="29">
        <v>5.8</v>
      </c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5.8999999999999995</v>
      </c>
      <c r="AG80" s="31">
        <f t="shared" si="17"/>
        <v>4.999999999999999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0</v>
      </c>
      <c r="C82" s="29">
        <v>0</v>
      </c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0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0.2</v>
      </c>
      <c r="C88" s="23">
        <v>797.3</v>
      </c>
      <c r="D88" s="23"/>
      <c r="E88" s="23">
        <v>23.2</v>
      </c>
      <c r="F88" s="23"/>
      <c r="G88" s="23">
        <v>20.8</v>
      </c>
      <c r="H88" s="23"/>
      <c r="I88" s="23"/>
      <c r="J88" s="23"/>
      <c r="K88" s="23"/>
      <c r="L88" s="23"/>
      <c r="M88" s="23"/>
      <c r="N88" s="23"/>
      <c r="O88" s="23">
        <v>107.1</v>
      </c>
      <c r="P88" s="23"/>
      <c r="Q88" s="23"/>
      <c r="R88" s="23"/>
      <c r="S88" s="27">
        <v>63.9</v>
      </c>
      <c r="T88" s="27">
        <v>109.5</v>
      </c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324.5</v>
      </c>
      <c r="AG88" s="23">
        <f t="shared" si="17"/>
        <v>473</v>
      </c>
      <c r="AH88" s="11"/>
    </row>
    <row r="89" spans="1:34" ht="15.75">
      <c r="A89" s="4" t="s">
        <v>54</v>
      </c>
      <c r="B89" s="23">
        <v>600</v>
      </c>
      <c r="C89" s="23">
        <v>5913.7</v>
      </c>
      <c r="D89" s="23"/>
      <c r="E89" s="23"/>
      <c r="F89" s="23">
        <v>86.7</v>
      </c>
      <c r="G89" s="23"/>
      <c r="H89" s="23"/>
      <c r="I89" s="23">
        <v>70.6</v>
      </c>
      <c r="J89" s="23">
        <v>58.6</v>
      </c>
      <c r="K89" s="23">
        <v>36.9</v>
      </c>
      <c r="L89" s="23">
        <v>71.8</v>
      </c>
      <c r="M89" s="23"/>
      <c r="N89" s="23"/>
      <c r="O89" s="23"/>
      <c r="P89" s="23"/>
      <c r="Q89" s="23">
        <v>48.7</v>
      </c>
      <c r="R89" s="23">
        <v>61.8</v>
      </c>
      <c r="S89" s="27">
        <v>21.2</v>
      </c>
      <c r="T89" s="27">
        <v>533.1</v>
      </c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989.4000000000001</v>
      </c>
      <c r="AG89" s="23">
        <f t="shared" si="17"/>
        <v>5524.299999999999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>
        <v>618.4</v>
      </c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618.4000000000001</v>
      </c>
      <c r="AH90" s="11"/>
    </row>
    <row r="91" spans="1:34" ht="15.75">
      <c r="A91" s="4" t="s">
        <v>29</v>
      </c>
      <c r="B91" s="23">
        <v>180.5</v>
      </c>
      <c r="C91" s="23">
        <v>309.4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489.9</v>
      </c>
      <c r="AH91" s="11"/>
    </row>
    <row r="92" spans="1:34" ht="15.75">
      <c r="A92" s="4" t="s">
        <v>53</v>
      </c>
      <c r="B92" s="23">
        <v>524</v>
      </c>
      <c r="C92" s="23">
        <v>0</v>
      </c>
      <c r="D92" s="23">
        <v>524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524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79258.40000000001</v>
      </c>
      <c r="C94" s="43">
        <f t="shared" si="18"/>
        <v>55364.99999999999</v>
      </c>
      <c r="D94" s="43">
        <f t="shared" si="18"/>
        <v>630.6</v>
      </c>
      <c r="E94" s="43">
        <f t="shared" si="18"/>
        <v>591.5000000000001</v>
      </c>
      <c r="F94" s="43">
        <f t="shared" si="18"/>
        <v>3679.7000000000003</v>
      </c>
      <c r="G94" s="43">
        <f t="shared" si="18"/>
        <v>328.8</v>
      </c>
      <c r="H94" s="43">
        <f t="shared" si="18"/>
        <v>2728.6000000000004</v>
      </c>
      <c r="I94" s="43">
        <f t="shared" si="18"/>
        <v>4627.400000000001</v>
      </c>
      <c r="J94" s="43">
        <f t="shared" si="18"/>
        <v>2267.9</v>
      </c>
      <c r="K94" s="43">
        <f t="shared" si="18"/>
        <v>3722.9</v>
      </c>
      <c r="L94" s="43">
        <f t="shared" si="18"/>
        <v>14065.099999999999</v>
      </c>
      <c r="M94" s="43">
        <f t="shared" si="18"/>
        <v>5034.4</v>
      </c>
      <c r="N94" s="43">
        <f t="shared" si="18"/>
        <v>437</v>
      </c>
      <c r="O94" s="43">
        <f t="shared" si="18"/>
        <v>3705.2000000000007</v>
      </c>
      <c r="P94" s="43">
        <f t="shared" si="18"/>
        <v>126.19999999999997</v>
      </c>
      <c r="Q94" s="43">
        <f t="shared" si="18"/>
        <v>1071.9</v>
      </c>
      <c r="R94" s="43">
        <f t="shared" si="18"/>
        <v>5597.1</v>
      </c>
      <c r="S94" s="43">
        <f t="shared" si="18"/>
        <v>13046.000000000002</v>
      </c>
      <c r="T94" s="43">
        <f t="shared" si="18"/>
        <v>4739.200000000001</v>
      </c>
      <c r="U94" s="43">
        <f t="shared" si="18"/>
        <v>26967.6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93367.1</v>
      </c>
      <c r="AG94" s="59">
        <f>AG10+AG15+AG24+AG33+AG47+AG52+AG54+AG61+AG62+AG69+AG71+AG72+AG76+AG81+AG82+AG83+AG88+AG89+AG90+AG91+AG70+AG40+AG92</f>
        <v>41256.3</v>
      </c>
    </row>
    <row r="95" spans="1:33" ht="15.75">
      <c r="A95" s="3" t="s">
        <v>5</v>
      </c>
      <c r="B95" s="23">
        <f aca="true" t="shared" si="19" ref="B95:AD95">B11+B17+B26+B34+B55+B63+B73+B41+B77</f>
        <v>49270.100000000006</v>
      </c>
      <c r="C95" s="23">
        <f t="shared" si="19"/>
        <v>9530.199999999999</v>
      </c>
      <c r="D95" s="23">
        <f t="shared" si="19"/>
        <v>0</v>
      </c>
      <c r="E95" s="23">
        <f t="shared" si="19"/>
        <v>0</v>
      </c>
      <c r="F95" s="23">
        <f t="shared" si="19"/>
        <v>239.8</v>
      </c>
      <c r="G95" s="23">
        <f t="shared" si="19"/>
        <v>0</v>
      </c>
      <c r="H95" s="23">
        <f t="shared" si="19"/>
        <v>31</v>
      </c>
      <c r="I95" s="23">
        <f t="shared" si="19"/>
        <v>3161.7</v>
      </c>
      <c r="J95" s="23">
        <f t="shared" si="19"/>
        <v>141</v>
      </c>
      <c r="K95" s="23">
        <f t="shared" si="19"/>
        <v>2455.6</v>
      </c>
      <c r="L95" s="23">
        <f t="shared" si="19"/>
        <v>11994.4</v>
      </c>
      <c r="M95" s="23">
        <f t="shared" si="19"/>
        <v>3825.2999999999997</v>
      </c>
      <c r="N95" s="23">
        <f t="shared" si="19"/>
        <v>29.4</v>
      </c>
      <c r="O95" s="23">
        <f t="shared" si="19"/>
        <v>18.8</v>
      </c>
      <c r="P95" s="23">
        <f t="shared" si="19"/>
        <v>0</v>
      </c>
      <c r="Q95" s="23">
        <f t="shared" si="19"/>
        <v>0</v>
      </c>
      <c r="R95" s="23">
        <f t="shared" si="19"/>
        <v>0.1</v>
      </c>
      <c r="S95" s="23">
        <f t="shared" si="19"/>
        <v>10352.400000000001</v>
      </c>
      <c r="T95" s="23">
        <f t="shared" si="19"/>
        <v>12.4</v>
      </c>
      <c r="U95" s="23">
        <f t="shared" si="19"/>
        <v>23094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55355.9</v>
      </c>
      <c r="AG95" s="28">
        <f>B95+C95-AF95</f>
        <v>3444.4000000000015</v>
      </c>
    </row>
    <row r="96" spans="1:33" ht="15.75">
      <c r="A96" s="3" t="s">
        <v>2</v>
      </c>
      <c r="B96" s="23">
        <f aca="true" t="shared" si="20" ref="B96:AD96">B12+B20+B29+B36+B57+B66+B44+B80+B74+B53</f>
        <v>9036</v>
      </c>
      <c r="C96" s="23">
        <f t="shared" si="20"/>
        <v>21030.5</v>
      </c>
      <c r="D96" s="23">
        <f t="shared" si="20"/>
        <v>0</v>
      </c>
      <c r="E96" s="23">
        <f t="shared" si="20"/>
        <v>112.5</v>
      </c>
      <c r="F96" s="23">
        <f t="shared" si="20"/>
        <v>1762.7999999999997</v>
      </c>
      <c r="G96" s="23">
        <f t="shared" si="20"/>
        <v>59.5</v>
      </c>
      <c r="H96" s="23">
        <f t="shared" si="20"/>
        <v>1343.1</v>
      </c>
      <c r="I96" s="23">
        <f t="shared" si="20"/>
        <v>724.5999999999999</v>
      </c>
      <c r="J96" s="23">
        <f t="shared" si="20"/>
        <v>600.9</v>
      </c>
      <c r="K96" s="23">
        <f t="shared" si="20"/>
        <v>252.09999999999997</v>
      </c>
      <c r="L96" s="23">
        <f t="shared" si="20"/>
        <v>1069.7</v>
      </c>
      <c r="M96" s="23">
        <f t="shared" si="20"/>
        <v>486.90000000000003</v>
      </c>
      <c r="N96" s="23">
        <f t="shared" si="20"/>
        <v>109.99999999999999</v>
      </c>
      <c r="O96" s="23">
        <f t="shared" si="20"/>
        <v>2363.3999999999996</v>
      </c>
      <c r="P96" s="23">
        <f t="shared" si="20"/>
        <v>0</v>
      </c>
      <c r="Q96" s="23">
        <f t="shared" si="20"/>
        <v>196.99999999999997</v>
      </c>
      <c r="R96" s="23">
        <f t="shared" si="20"/>
        <v>4174.5</v>
      </c>
      <c r="S96" s="23">
        <f t="shared" si="20"/>
        <v>82.39999999999999</v>
      </c>
      <c r="T96" s="23">
        <f t="shared" si="20"/>
        <v>2326.7000000000003</v>
      </c>
      <c r="U96" s="23">
        <f t="shared" si="20"/>
        <v>1496.3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17162.4</v>
      </c>
      <c r="AG96" s="28">
        <f>B96+C96-AF96</f>
        <v>12904.099999999999</v>
      </c>
    </row>
    <row r="97" spans="1:33" ht="15.75">
      <c r="A97" s="3" t="s">
        <v>3</v>
      </c>
      <c r="B97" s="23">
        <f aca="true" t="shared" si="21" ref="B97:AA97">B18+B27+B42+B64+B78</f>
        <v>1379.5</v>
      </c>
      <c r="C97" s="23">
        <f t="shared" si="21"/>
        <v>870.8000000000001</v>
      </c>
      <c r="D97" s="23">
        <f t="shared" si="21"/>
        <v>84.9</v>
      </c>
      <c r="E97" s="23">
        <f t="shared" si="21"/>
        <v>160.4</v>
      </c>
      <c r="F97" s="23">
        <f t="shared" si="21"/>
        <v>1.2</v>
      </c>
      <c r="G97" s="23">
        <f t="shared" si="21"/>
        <v>14.3</v>
      </c>
      <c r="H97" s="23">
        <f t="shared" si="21"/>
        <v>4.2</v>
      </c>
      <c r="I97" s="23">
        <f t="shared" si="21"/>
        <v>238.4</v>
      </c>
      <c r="J97" s="23">
        <f t="shared" si="21"/>
        <v>156.5</v>
      </c>
      <c r="K97" s="23">
        <f t="shared" si="21"/>
        <v>0.2</v>
      </c>
      <c r="L97" s="23">
        <f t="shared" si="21"/>
        <v>0.4</v>
      </c>
      <c r="M97" s="23">
        <f t="shared" si="21"/>
        <v>0</v>
      </c>
      <c r="N97" s="23">
        <f t="shared" si="21"/>
        <v>0</v>
      </c>
      <c r="O97" s="23">
        <f t="shared" si="21"/>
        <v>271.1</v>
      </c>
      <c r="P97" s="23">
        <f t="shared" si="21"/>
        <v>14</v>
      </c>
      <c r="Q97" s="23">
        <f t="shared" si="21"/>
        <v>0</v>
      </c>
      <c r="R97" s="23">
        <f t="shared" si="21"/>
        <v>293.9</v>
      </c>
      <c r="S97" s="23">
        <f t="shared" si="21"/>
        <v>0</v>
      </c>
      <c r="T97" s="23">
        <f t="shared" si="21"/>
        <v>257.9</v>
      </c>
      <c r="U97" s="23">
        <f t="shared" si="21"/>
        <v>11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1508.4</v>
      </c>
      <c r="AG97" s="28">
        <f>B97+C97-AF97</f>
        <v>741.9000000000001</v>
      </c>
    </row>
    <row r="98" spans="1:33" ht="15.75">
      <c r="A98" s="3" t="s">
        <v>1</v>
      </c>
      <c r="B98" s="23">
        <f aca="true" t="shared" si="22" ref="B98:AA98">B19+B28+B65+B35+B43+B56+B48+B79</f>
        <v>2765.0000000000005</v>
      </c>
      <c r="C98" s="23">
        <f t="shared" si="22"/>
        <v>2904.5</v>
      </c>
      <c r="D98" s="23">
        <f t="shared" si="22"/>
        <v>0</v>
      </c>
      <c r="E98" s="23">
        <f t="shared" si="22"/>
        <v>133.6</v>
      </c>
      <c r="F98" s="23">
        <f t="shared" si="22"/>
        <v>416</v>
      </c>
      <c r="G98" s="23">
        <f t="shared" si="22"/>
        <v>124.2</v>
      </c>
      <c r="H98" s="23">
        <f t="shared" si="22"/>
        <v>328.5</v>
      </c>
      <c r="I98" s="23">
        <f t="shared" si="22"/>
        <v>102.3</v>
      </c>
      <c r="J98" s="23">
        <f t="shared" si="22"/>
        <v>41.2</v>
      </c>
      <c r="K98" s="23">
        <f t="shared" si="22"/>
        <v>48.1</v>
      </c>
      <c r="L98" s="23">
        <f t="shared" si="22"/>
        <v>83.3</v>
      </c>
      <c r="M98" s="23">
        <f t="shared" si="22"/>
        <v>138.4</v>
      </c>
      <c r="N98" s="23">
        <f t="shared" si="22"/>
        <v>4.2</v>
      </c>
      <c r="O98" s="23">
        <f t="shared" si="22"/>
        <v>219.8</v>
      </c>
      <c r="P98" s="23">
        <f t="shared" si="22"/>
        <v>0</v>
      </c>
      <c r="Q98" s="23">
        <f t="shared" si="22"/>
        <v>0</v>
      </c>
      <c r="R98" s="23">
        <f t="shared" si="22"/>
        <v>234.5</v>
      </c>
      <c r="S98" s="23">
        <f t="shared" si="22"/>
        <v>4.5</v>
      </c>
      <c r="T98" s="23">
        <f t="shared" si="22"/>
        <v>566.5</v>
      </c>
      <c r="U98" s="23">
        <f t="shared" si="22"/>
        <v>44.400000000000006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2489.5000000000005</v>
      </c>
      <c r="AG98" s="28">
        <f>B98+C98-AF98</f>
        <v>3179.9999999999995</v>
      </c>
    </row>
    <row r="99" spans="1:33" ht="15.75">
      <c r="A99" s="3" t="s">
        <v>17</v>
      </c>
      <c r="B99" s="23">
        <f aca="true" t="shared" si="23" ref="B99:AD99">B21+B30+B49+B37+B58+B13+B75</f>
        <v>1220.5</v>
      </c>
      <c r="C99" s="23">
        <f t="shared" si="23"/>
        <v>2443.7000000000003</v>
      </c>
      <c r="D99" s="23">
        <f t="shared" si="23"/>
        <v>0</v>
      </c>
      <c r="E99" s="23">
        <f t="shared" si="23"/>
        <v>0</v>
      </c>
      <c r="F99" s="23">
        <f t="shared" si="23"/>
        <v>11.9</v>
      </c>
      <c r="G99" s="23">
        <f t="shared" si="23"/>
        <v>2.7</v>
      </c>
      <c r="H99" s="23">
        <f t="shared" si="23"/>
        <v>116.9</v>
      </c>
      <c r="I99" s="23">
        <f t="shared" si="23"/>
        <v>0</v>
      </c>
      <c r="J99" s="23">
        <f t="shared" si="23"/>
        <v>1.3</v>
      </c>
      <c r="K99" s="23">
        <f t="shared" si="23"/>
        <v>7.7</v>
      </c>
      <c r="L99" s="23">
        <f t="shared" si="23"/>
        <v>23.299999999999997</v>
      </c>
      <c r="M99" s="23">
        <f t="shared" si="23"/>
        <v>40</v>
      </c>
      <c r="N99" s="23">
        <f t="shared" si="23"/>
        <v>36</v>
      </c>
      <c r="O99" s="23">
        <f t="shared" si="23"/>
        <v>75.4</v>
      </c>
      <c r="P99" s="23">
        <f t="shared" si="23"/>
        <v>0</v>
      </c>
      <c r="Q99" s="23">
        <f t="shared" si="23"/>
        <v>4</v>
      </c>
      <c r="R99" s="23">
        <f t="shared" si="23"/>
        <v>81</v>
      </c>
      <c r="S99" s="23">
        <f t="shared" si="23"/>
        <v>2.1</v>
      </c>
      <c r="T99" s="23">
        <f t="shared" si="23"/>
        <v>41.4</v>
      </c>
      <c r="U99" s="23">
        <f t="shared" si="23"/>
        <v>382.5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826.2</v>
      </c>
      <c r="AG99" s="28">
        <f>B99+C99-AF99</f>
        <v>2838</v>
      </c>
    </row>
    <row r="100" spans="1:33" ht="12.75">
      <c r="A100" s="1" t="s">
        <v>47</v>
      </c>
      <c r="B100" s="2">
        <f aca="true" t="shared" si="24" ref="B100:U100">B94-B95-B96-B97-B98-B99</f>
        <v>15587.300000000003</v>
      </c>
      <c r="C100" s="2">
        <f t="shared" si="24"/>
        <v>18585.299999999996</v>
      </c>
      <c r="D100" s="2">
        <f t="shared" si="24"/>
        <v>545.7</v>
      </c>
      <c r="E100" s="2">
        <f t="shared" si="24"/>
        <v>185.00000000000014</v>
      </c>
      <c r="F100" s="2">
        <f t="shared" si="24"/>
        <v>1248.0000000000002</v>
      </c>
      <c r="G100" s="2">
        <f t="shared" si="24"/>
        <v>128.10000000000002</v>
      </c>
      <c r="H100" s="2">
        <f t="shared" si="24"/>
        <v>904.9000000000004</v>
      </c>
      <c r="I100" s="2">
        <f t="shared" si="24"/>
        <v>400.40000000000083</v>
      </c>
      <c r="J100" s="2">
        <f t="shared" si="24"/>
        <v>1327</v>
      </c>
      <c r="K100" s="2">
        <f t="shared" si="24"/>
        <v>959.2000000000002</v>
      </c>
      <c r="L100" s="2">
        <f t="shared" si="24"/>
        <v>893.999999999999</v>
      </c>
      <c r="M100" s="2">
        <f t="shared" si="24"/>
        <v>543.7999999999998</v>
      </c>
      <c r="N100" s="2">
        <f t="shared" si="24"/>
        <v>257.40000000000003</v>
      </c>
      <c r="O100" s="2">
        <f t="shared" si="24"/>
        <v>756.7000000000011</v>
      </c>
      <c r="P100" s="2">
        <f t="shared" si="24"/>
        <v>112.19999999999997</v>
      </c>
      <c r="Q100" s="2">
        <f t="shared" si="24"/>
        <v>870.9000000000001</v>
      </c>
      <c r="R100" s="2">
        <f t="shared" si="24"/>
        <v>813.0999999999999</v>
      </c>
      <c r="S100" s="2">
        <f t="shared" si="24"/>
        <v>2604.6000000000004</v>
      </c>
      <c r="T100" s="2">
        <f t="shared" si="24"/>
        <v>1534.3000000000006</v>
      </c>
      <c r="U100" s="2">
        <f t="shared" si="24"/>
        <v>1939.3999999999983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16024.7</v>
      </c>
      <c r="AG100" s="2">
        <f>AG94-AG95-AG96-AG97-AG98-AG99</f>
        <v>18147.9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2015-12-24T11:16:36Z</cp:lastPrinted>
  <dcterms:created xsi:type="dcterms:W3CDTF">2002-11-05T08:53:00Z</dcterms:created>
  <dcterms:modified xsi:type="dcterms:W3CDTF">2015-12-25T06:06:47Z</dcterms:modified>
  <cp:category/>
  <cp:version/>
  <cp:contentType/>
  <cp:contentStatus/>
</cp:coreProperties>
</file>